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8_{B6DF35E6-A7CE-46A9-92D1-97B2F46988D3}" xr6:coauthVersionLast="47" xr6:coauthVersionMax="47" xr10:uidLastSave="{00000000-0000-0000-0000-000000000000}"/>
  <bookViews>
    <workbookView xWindow="-120" yWindow="-120" windowWidth="29040" windowHeight="15840" xr2:uid="{C4CEDE49-7C8B-4530-B3A4-548A7A679D69}"/>
  </bookViews>
  <sheets>
    <sheet name="завтраки(с ценами)" sheetId="12" r:id="rId1"/>
    <sheet name="завтраки(ДЛЯ САЙТА) 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5" i="13" l="1"/>
  <c r="S82" i="12"/>
  <c r="J82" i="12"/>
  <c r="H82" i="12"/>
  <c r="G82" i="12"/>
  <c r="F82" i="12"/>
  <c r="C82" i="12"/>
  <c r="C282" i="12"/>
  <c r="C283" i="12"/>
  <c r="U136" i="12"/>
  <c r="R136" i="12"/>
  <c r="N136" i="12"/>
  <c r="M136" i="12"/>
  <c r="L136" i="12"/>
  <c r="K136" i="12"/>
  <c r="J136" i="12"/>
  <c r="I136" i="12"/>
  <c r="I137" i="12"/>
  <c r="H136" i="12"/>
  <c r="G136" i="12"/>
  <c r="F136" i="12"/>
  <c r="R137" i="12"/>
  <c r="P137" i="12"/>
  <c r="N137" i="12"/>
  <c r="C137" i="12"/>
  <c r="S280" i="12"/>
  <c r="R280" i="12"/>
  <c r="P280" i="12"/>
  <c r="O280" i="12"/>
  <c r="G280" i="12"/>
  <c r="C280" i="12"/>
  <c r="K248" i="12"/>
  <c r="F248" i="12"/>
  <c r="C248" i="12"/>
  <c r="R217" i="12"/>
  <c r="Q217" i="12"/>
  <c r="P217" i="12"/>
  <c r="O217" i="12"/>
  <c r="K217" i="12"/>
  <c r="F217" i="12"/>
  <c r="C217" i="12"/>
  <c r="S187" i="12"/>
  <c r="Q187" i="12"/>
  <c r="P187" i="12"/>
  <c r="K187" i="12"/>
  <c r="G187" i="12"/>
  <c r="F187" i="12"/>
  <c r="C187" i="12"/>
  <c r="O165" i="12"/>
  <c r="C165" i="12"/>
  <c r="R110" i="12"/>
  <c r="Q110" i="12"/>
  <c r="P110" i="12"/>
  <c r="N110" i="12"/>
  <c r="I110" i="12"/>
  <c r="H110" i="12"/>
  <c r="G110" i="12"/>
  <c r="F110" i="12"/>
  <c r="C110" i="12"/>
  <c r="P54" i="12"/>
  <c r="P282" i="12" s="1"/>
  <c r="P283" i="12" s="1"/>
  <c r="N54" i="12"/>
  <c r="M54" i="12"/>
  <c r="K54" i="12"/>
  <c r="C54" i="12"/>
  <c r="U30" i="12"/>
  <c r="P30" i="12"/>
  <c r="O30" i="12"/>
  <c r="M30" i="12"/>
  <c r="H30" i="12"/>
  <c r="G30" i="12"/>
  <c r="F30" i="12"/>
  <c r="C30" i="12"/>
  <c r="U278" i="12"/>
  <c r="U80" i="12"/>
  <c r="S247" i="12"/>
  <c r="R247" i="12"/>
  <c r="Q247" i="12"/>
  <c r="P247" i="12"/>
  <c r="O247" i="12"/>
  <c r="N247" i="12"/>
  <c r="M247" i="12"/>
  <c r="L247" i="12"/>
  <c r="K247" i="12"/>
  <c r="J247" i="12"/>
  <c r="I247" i="12"/>
  <c r="H247" i="12"/>
  <c r="G247" i="12"/>
  <c r="F247" i="12"/>
  <c r="R108" i="13"/>
  <c r="R97" i="13"/>
  <c r="R87" i="13"/>
  <c r="R76" i="13"/>
  <c r="R67" i="13"/>
  <c r="R44" i="13"/>
  <c r="R33" i="13"/>
  <c r="R22" i="13"/>
  <c r="S34" i="12"/>
  <c r="R34" i="12"/>
  <c r="R54" i="12" s="1"/>
  <c r="Q34" i="12"/>
  <c r="P34" i="12"/>
  <c r="O271" i="12"/>
  <c r="N271" i="12"/>
  <c r="M271" i="12"/>
  <c r="L271" i="12"/>
  <c r="K271" i="12"/>
  <c r="J271" i="12"/>
  <c r="I271" i="12"/>
  <c r="H271" i="12"/>
  <c r="G271" i="12"/>
  <c r="F271" i="12"/>
  <c r="O266" i="12"/>
  <c r="N266" i="12"/>
  <c r="M266" i="12"/>
  <c r="M252" i="12"/>
  <c r="M280" i="12" s="1"/>
  <c r="L266" i="12"/>
  <c r="K266" i="12"/>
  <c r="J266" i="12"/>
  <c r="I266" i="12"/>
  <c r="H266" i="12"/>
  <c r="H252" i="12"/>
  <c r="H280" i="12" s="1"/>
  <c r="G266" i="12"/>
  <c r="F266" i="12"/>
  <c r="O242" i="12"/>
  <c r="N242" i="12"/>
  <c r="M242" i="12"/>
  <c r="L242" i="12"/>
  <c r="K242" i="12"/>
  <c r="J242" i="12"/>
  <c r="I242" i="12"/>
  <c r="H242" i="12"/>
  <c r="G242" i="12"/>
  <c r="F242" i="12"/>
  <c r="O205" i="12"/>
  <c r="N205" i="12"/>
  <c r="M205" i="12"/>
  <c r="L205" i="12"/>
  <c r="K205" i="12"/>
  <c r="J205" i="12"/>
  <c r="I205" i="12"/>
  <c r="H205" i="12"/>
  <c r="G205" i="12"/>
  <c r="F205" i="12"/>
  <c r="O178" i="12"/>
  <c r="N178" i="12"/>
  <c r="M178" i="12"/>
  <c r="L178" i="12"/>
  <c r="K178" i="12"/>
  <c r="J178" i="12"/>
  <c r="I178" i="12"/>
  <c r="H178" i="12"/>
  <c r="G178" i="12"/>
  <c r="F178" i="12"/>
  <c r="O174" i="12"/>
  <c r="N174" i="12"/>
  <c r="M174" i="12"/>
  <c r="L174" i="12"/>
  <c r="K174" i="12"/>
  <c r="J174" i="12"/>
  <c r="I174" i="12"/>
  <c r="H174" i="12"/>
  <c r="G174" i="12"/>
  <c r="F174" i="12"/>
  <c r="O152" i="12"/>
  <c r="N152" i="12"/>
  <c r="M152" i="12"/>
  <c r="L152" i="12"/>
  <c r="K152" i="12"/>
  <c r="J152" i="12"/>
  <c r="I152" i="12"/>
  <c r="H152" i="12"/>
  <c r="G152" i="12"/>
  <c r="F152" i="12"/>
  <c r="O145" i="12"/>
  <c r="N145" i="12"/>
  <c r="M145" i="12"/>
  <c r="L145" i="12"/>
  <c r="K145" i="12"/>
  <c r="J145" i="12"/>
  <c r="I145" i="12"/>
  <c r="H145" i="12"/>
  <c r="G145" i="12"/>
  <c r="F145" i="12"/>
  <c r="O124" i="12"/>
  <c r="N124" i="12"/>
  <c r="M124" i="12"/>
  <c r="L124" i="12"/>
  <c r="K124" i="12"/>
  <c r="J124" i="12"/>
  <c r="I124" i="12"/>
  <c r="H124" i="12"/>
  <c r="G124" i="12"/>
  <c r="F124" i="12"/>
  <c r="O120" i="12"/>
  <c r="N120" i="12"/>
  <c r="M120" i="12"/>
  <c r="L120" i="12"/>
  <c r="K120" i="12"/>
  <c r="J120" i="12"/>
  <c r="I120" i="12"/>
  <c r="H120" i="12"/>
  <c r="G120" i="12"/>
  <c r="F120" i="12"/>
  <c r="O99" i="12"/>
  <c r="N99" i="12"/>
  <c r="M99" i="12"/>
  <c r="L99" i="12"/>
  <c r="K99" i="12"/>
  <c r="J99" i="12"/>
  <c r="I99" i="12"/>
  <c r="H99" i="12"/>
  <c r="G99" i="12"/>
  <c r="F99" i="12"/>
  <c r="O69" i="12"/>
  <c r="N69" i="12"/>
  <c r="M69" i="12"/>
  <c r="L69" i="12"/>
  <c r="K69" i="12"/>
  <c r="J69" i="12"/>
  <c r="I69" i="12"/>
  <c r="H69" i="12"/>
  <c r="G69" i="12"/>
  <c r="F69" i="12"/>
  <c r="O40" i="12"/>
  <c r="O34" i="12"/>
  <c r="N40" i="12"/>
  <c r="M40" i="12"/>
  <c r="L40" i="12"/>
  <c r="K40" i="12"/>
  <c r="J40" i="12"/>
  <c r="I40" i="12"/>
  <c r="H40" i="12"/>
  <c r="G40" i="12"/>
  <c r="F40" i="12"/>
  <c r="O13" i="12"/>
  <c r="N13" i="12"/>
  <c r="M13" i="12"/>
  <c r="L13" i="12"/>
  <c r="K13" i="12"/>
  <c r="J13" i="12"/>
  <c r="I13" i="12"/>
  <c r="H13" i="12"/>
  <c r="G13" i="12"/>
  <c r="F13" i="12"/>
  <c r="U229" i="12"/>
  <c r="U232" i="12"/>
  <c r="M232" i="12"/>
  <c r="L232" i="12"/>
  <c r="K232" i="12"/>
  <c r="J232" i="12"/>
  <c r="I232" i="12"/>
  <c r="H232" i="12"/>
  <c r="G232" i="12"/>
  <c r="F232" i="12"/>
  <c r="U231" i="12"/>
  <c r="M231" i="12"/>
  <c r="L231" i="12"/>
  <c r="K231" i="12"/>
  <c r="J231" i="12"/>
  <c r="I231" i="12"/>
  <c r="H231" i="12"/>
  <c r="G231" i="12"/>
  <c r="F231" i="12"/>
  <c r="U230" i="12"/>
  <c r="R230" i="12"/>
  <c r="N230" i="12"/>
  <c r="M230" i="12"/>
  <c r="L230" i="12"/>
  <c r="K230" i="12"/>
  <c r="J230" i="12"/>
  <c r="I230" i="12"/>
  <c r="H230" i="12"/>
  <c r="G230" i="12"/>
  <c r="F230" i="12"/>
  <c r="I229" i="12"/>
  <c r="G229" i="12"/>
  <c r="U228" i="12"/>
  <c r="S228" i="12"/>
  <c r="S221" i="12"/>
  <c r="S248" i="12" s="1"/>
  <c r="M228" i="12"/>
  <c r="L228" i="12"/>
  <c r="K228" i="12"/>
  <c r="J228" i="12"/>
  <c r="I228" i="12"/>
  <c r="H228" i="12"/>
  <c r="G228" i="12"/>
  <c r="F228" i="12"/>
  <c r="U227" i="12"/>
  <c r="N227" i="12"/>
  <c r="M227" i="12"/>
  <c r="L227" i="12"/>
  <c r="K227" i="12"/>
  <c r="J227" i="12"/>
  <c r="I227" i="12"/>
  <c r="G227" i="12"/>
  <c r="F227" i="12"/>
  <c r="U226" i="12"/>
  <c r="S226" i="12"/>
  <c r="R226" i="12"/>
  <c r="N226" i="12"/>
  <c r="M226" i="12"/>
  <c r="L226" i="12"/>
  <c r="K226" i="12"/>
  <c r="J226" i="12"/>
  <c r="I226" i="12"/>
  <c r="H226" i="12"/>
  <c r="F226" i="12"/>
  <c r="U225" i="12"/>
  <c r="U224" i="12"/>
  <c r="K224" i="12"/>
  <c r="J224" i="12"/>
  <c r="I224" i="12"/>
  <c r="H224" i="12"/>
  <c r="U223" i="12"/>
  <c r="N223" i="12"/>
  <c r="M223" i="12"/>
  <c r="L223" i="12"/>
  <c r="K223" i="12"/>
  <c r="J223" i="12"/>
  <c r="I223" i="12"/>
  <c r="H223" i="12"/>
  <c r="G223" i="12"/>
  <c r="F223" i="12"/>
  <c r="U222" i="12"/>
  <c r="N222" i="12"/>
  <c r="M222" i="12"/>
  <c r="L222" i="12"/>
  <c r="L221" i="12"/>
  <c r="L248" i="12" s="1"/>
  <c r="K222" i="12"/>
  <c r="K221" i="12"/>
  <c r="J222" i="12"/>
  <c r="I222" i="12"/>
  <c r="H222" i="12"/>
  <c r="H221" i="12"/>
  <c r="H248" i="12" s="1"/>
  <c r="G222" i="12"/>
  <c r="G221" i="12"/>
  <c r="F222" i="12"/>
  <c r="R221" i="12"/>
  <c r="Q221" i="12"/>
  <c r="P221" i="12"/>
  <c r="O221" i="12"/>
  <c r="N221" i="12"/>
  <c r="N248" i="12" s="1"/>
  <c r="M221" i="12"/>
  <c r="M248" i="12" s="1"/>
  <c r="J221" i="12"/>
  <c r="J248" i="12" s="1"/>
  <c r="I221" i="12"/>
  <c r="I248" i="12" s="1"/>
  <c r="F221" i="12"/>
  <c r="U81" i="12"/>
  <c r="U266" i="12"/>
  <c r="U265" i="12"/>
  <c r="S265" i="12"/>
  <c r="M265" i="12"/>
  <c r="L265" i="12"/>
  <c r="K265" i="12"/>
  <c r="J265" i="12"/>
  <c r="I265" i="12"/>
  <c r="H265" i="12"/>
  <c r="F265" i="12"/>
  <c r="U263" i="12"/>
  <c r="U262" i="12"/>
  <c r="S262" i="12"/>
  <c r="R262" i="12"/>
  <c r="Q262" i="12"/>
  <c r="Q252" i="12"/>
  <c r="Q280" i="12" s="1"/>
  <c r="P262" i="12"/>
  <c r="O262" i="12"/>
  <c r="N262" i="12"/>
  <c r="M262" i="12"/>
  <c r="L262" i="12"/>
  <c r="K262" i="12"/>
  <c r="J262" i="12"/>
  <c r="I262" i="12"/>
  <c r="H262" i="12"/>
  <c r="G262" i="12"/>
  <c r="F262" i="12"/>
  <c r="U260" i="12"/>
  <c r="U259" i="12"/>
  <c r="U258" i="12"/>
  <c r="U257" i="12"/>
  <c r="U256" i="12"/>
  <c r="S256" i="12"/>
  <c r="S252" i="12"/>
  <c r="M256" i="12"/>
  <c r="L256" i="12"/>
  <c r="K256" i="12"/>
  <c r="J256" i="12"/>
  <c r="I256" i="12"/>
  <c r="H256" i="12"/>
  <c r="F256" i="12"/>
  <c r="U255" i="12"/>
  <c r="U254" i="12"/>
  <c r="U253" i="12"/>
  <c r="L253" i="12"/>
  <c r="K253" i="12"/>
  <c r="K252" i="12"/>
  <c r="K280" i="12" s="1"/>
  <c r="J253" i="12"/>
  <c r="I253" i="12"/>
  <c r="G253" i="12"/>
  <c r="G252" i="12"/>
  <c r="F253" i="12"/>
  <c r="R252" i="12"/>
  <c r="P252" i="12"/>
  <c r="O252" i="12"/>
  <c r="N252" i="12"/>
  <c r="J252" i="12"/>
  <c r="J280" i="12" s="1"/>
  <c r="F252" i="12"/>
  <c r="F280" i="12" s="1"/>
  <c r="U238" i="12"/>
  <c r="U237" i="12"/>
  <c r="U236" i="12"/>
  <c r="U235" i="12"/>
  <c r="U160" i="12"/>
  <c r="U159" i="12"/>
  <c r="U158" i="12"/>
  <c r="U157" i="12"/>
  <c r="U116" i="12"/>
  <c r="U120" i="12"/>
  <c r="U119" i="12"/>
  <c r="U118" i="12"/>
  <c r="U117" i="12"/>
  <c r="U115" i="12"/>
  <c r="U129" i="12"/>
  <c r="U243" i="12"/>
  <c r="U242" i="12"/>
  <c r="U244" i="12"/>
  <c r="U241" i="12"/>
  <c r="U179" i="12"/>
  <c r="U178" i="12"/>
  <c r="U180" i="12"/>
  <c r="U177" i="12"/>
  <c r="U153" i="12"/>
  <c r="U152" i="12"/>
  <c r="U151" i="12"/>
  <c r="U154" i="12"/>
  <c r="U125" i="12"/>
  <c r="U124" i="12"/>
  <c r="U123" i="12"/>
  <c r="U126" i="12"/>
  <c r="U70" i="12"/>
  <c r="U69" i="12"/>
  <c r="U71" i="12"/>
  <c r="U68" i="12"/>
  <c r="U65" i="12"/>
  <c r="U64" i="12"/>
  <c r="U63" i="12"/>
  <c r="U62" i="12"/>
  <c r="U61" i="12"/>
  <c r="U60" i="12"/>
  <c r="U59" i="12"/>
  <c r="U58" i="12"/>
  <c r="U233" i="12"/>
  <c r="U248" i="12" s="1"/>
  <c r="U161" i="12"/>
  <c r="U239" i="12"/>
  <c r="I252" i="12"/>
  <c r="I280" i="12" s="1"/>
  <c r="U277" i="12"/>
  <c r="N277" i="12"/>
  <c r="M277" i="12"/>
  <c r="L277" i="12"/>
  <c r="K277" i="12"/>
  <c r="J277" i="12"/>
  <c r="I277" i="12"/>
  <c r="H277" i="12"/>
  <c r="G277" i="12"/>
  <c r="F277" i="12"/>
  <c r="U276" i="12"/>
  <c r="R276" i="12"/>
  <c r="Q276" i="12"/>
  <c r="P276" i="12"/>
  <c r="N276" i="12"/>
  <c r="M276" i="12"/>
  <c r="L276" i="12"/>
  <c r="K276" i="12"/>
  <c r="J276" i="12"/>
  <c r="I276" i="12"/>
  <c r="H276" i="12"/>
  <c r="F276" i="12"/>
  <c r="U279" i="12"/>
  <c r="S279" i="12"/>
  <c r="N279" i="12"/>
  <c r="M279" i="12"/>
  <c r="L279" i="12"/>
  <c r="K279" i="12"/>
  <c r="J279" i="12"/>
  <c r="I279" i="12"/>
  <c r="H279" i="12"/>
  <c r="G279" i="12"/>
  <c r="F279" i="12"/>
  <c r="U274" i="12"/>
  <c r="U275" i="12"/>
  <c r="U280" i="12" s="1"/>
  <c r="S274" i="12"/>
  <c r="R274" i="12"/>
  <c r="N274" i="12"/>
  <c r="N273" i="12"/>
  <c r="N280" i="12" s="1"/>
  <c r="M274" i="12"/>
  <c r="M273" i="12"/>
  <c r="L274" i="12"/>
  <c r="L273" i="12"/>
  <c r="L280" i="12" s="1"/>
  <c r="K274" i="12"/>
  <c r="J274" i="12"/>
  <c r="I274" i="12"/>
  <c r="I273" i="12"/>
  <c r="H274" i="12"/>
  <c r="H273" i="12"/>
  <c r="G274" i="12"/>
  <c r="F274" i="12"/>
  <c r="F273" i="12"/>
  <c r="S273" i="12"/>
  <c r="R273" i="12"/>
  <c r="Q273" i="12"/>
  <c r="P273" i="12"/>
  <c r="O273" i="12"/>
  <c r="K273" i="12"/>
  <c r="J273" i="12"/>
  <c r="G273" i="12"/>
  <c r="U271" i="12"/>
  <c r="U270" i="12"/>
  <c r="U269" i="12"/>
  <c r="U272" i="12"/>
  <c r="N269" i="12"/>
  <c r="N268" i="12"/>
  <c r="M269" i="12"/>
  <c r="L269" i="12"/>
  <c r="K269" i="12"/>
  <c r="K268" i="12"/>
  <c r="J269" i="12"/>
  <c r="I269" i="12"/>
  <c r="H269" i="12"/>
  <c r="G269" i="12"/>
  <c r="G268" i="12"/>
  <c r="F269" i="12"/>
  <c r="F268" i="12"/>
  <c r="S268" i="12"/>
  <c r="R268" i="12"/>
  <c r="Q268" i="12"/>
  <c r="P268" i="12"/>
  <c r="O268" i="12"/>
  <c r="M268" i="12"/>
  <c r="J268" i="12"/>
  <c r="I268" i="12"/>
  <c r="U247" i="12"/>
  <c r="U246" i="12"/>
  <c r="N246" i="12"/>
  <c r="M246" i="12"/>
  <c r="L246" i="12"/>
  <c r="K246" i="12"/>
  <c r="J246" i="12"/>
  <c r="I246" i="12"/>
  <c r="H246" i="12"/>
  <c r="G246" i="12"/>
  <c r="F246" i="12"/>
  <c r="U245" i="12"/>
  <c r="R245" i="12"/>
  <c r="Q245" i="12"/>
  <c r="P245" i="12"/>
  <c r="N245" i="12"/>
  <c r="M245" i="12"/>
  <c r="L245" i="12"/>
  <c r="K245" i="12"/>
  <c r="J245" i="12"/>
  <c r="I245" i="12"/>
  <c r="H245" i="12"/>
  <c r="F245" i="12"/>
  <c r="R243" i="12"/>
  <c r="N243" i="12"/>
  <c r="M243" i="12"/>
  <c r="M240" i="12"/>
  <c r="L243" i="12"/>
  <c r="L240" i="12"/>
  <c r="K243" i="12"/>
  <c r="J243" i="12"/>
  <c r="I243" i="12"/>
  <c r="H243" i="12"/>
  <c r="G243" i="12"/>
  <c r="F243" i="12"/>
  <c r="S241" i="12"/>
  <c r="R241" i="12"/>
  <c r="R240" i="12"/>
  <c r="R248" i="12" s="1"/>
  <c r="Q241" i="12"/>
  <c r="Q240" i="12"/>
  <c r="Q248" i="12" s="1"/>
  <c r="O241" i="12"/>
  <c r="O240" i="12"/>
  <c r="O248" i="12" s="1"/>
  <c r="M241" i="12"/>
  <c r="K241" i="12"/>
  <c r="J241" i="12"/>
  <c r="J240" i="12"/>
  <c r="I241" i="12"/>
  <c r="G241" i="12"/>
  <c r="F241" i="12"/>
  <c r="S240" i="12"/>
  <c r="P240" i="12"/>
  <c r="K240" i="12"/>
  <c r="S238" i="12"/>
  <c r="S234" i="12"/>
  <c r="R238" i="12"/>
  <c r="Q238" i="12"/>
  <c r="P238" i="12"/>
  <c r="P234" i="12"/>
  <c r="P248" i="12" s="1"/>
  <c r="O238" i="12"/>
  <c r="O234" i="12"/>
  <c r="N238" i="12"/>
  <c r="M238" i="12"/>
  <c r="L238" i="12"/>
  <c r="L234" i="12"/>
  <c r="K238" i="12"/>
  <c r="J238" i="12"/>
  <c r="I238" i="12"/>
  <c r="H238" i="12"/>
  <c r="G238" i="12"/>
  <c r="F238" i="12"/>
  <c r="K237" i="12"/>
  <c r="J237" i="12"/>
  <c r="I237" i="12"/>
  <c r="H237" i="12"/>
  <c r="R235" i="12"/>
  <c r="Q235" i="12"/>
  <c r="Q234" i="12"/>
  <c r="N235" i="12"/>
  <c r="N234" i="12"/>
  <c r="M235" i="12"/>
  <c r="K235" i="12"/>
  <c r="I235" i="12"/>
  <c r="I234" i="12"/>
  <c r="H235" i="12"/>
  <c r="G235" i="12"/>
  <c r="F235" i="12"/>
  <c r="R234" i="12"/>
  <c r="M234" i="12"/>
  <c r="J234" i="12"/>
  <c r="F234" i="12"/>
  <c r="U216" i="12"/>
  <c r="U208" i="12"/>
  <c r="N208" i="12"/>
  <c r="M208" i="12"/>
  <c r="L208" i="12"/>
  <c r="K208" i="12"/>
  <c r="J208" i="12"/>
  <c r="I208" i="12"/>
  <c r="H208" i="12"/>
  <c r="G208" i="12"/>
  <c r="F208" i="12"/>
  <c r="U207" i="12"/>
  <c r="R207" i="12"/>
  <c r="Q207" i="12"/>
  <c r="P207" i="12"/>
  <c r="N207" i="12"/>
  <c r="M207" i="12"/>
  <c r="L207" i="12"/>
  <c r="K207" i="12"/>
  <c r="J207" i="12"/>
  <c r="I207" i="12"/>
  <c r="H207" i="12"/>
  <c r="F207" i="12"/>
  <c r="U200" i="12"/>
  <c r="U199" i="12"/>
  <c r="S199" i="12"/>
  <c r="R199" i="12"/>
  <c r="N199" i="12"/>
  <c r="M199" i="12"/>
  <c r="L199" i="12"/>
  <c r="K199" i="12"/>
  <c r="J199" i="12"/>
  <c r="I199" i="12"/>
  <c r="H199" i="12"/>
  <c r="F199" i="12"/>
  <c r="U198" i="12"/>
  <c r="U197" i="12"/>
  <c r="U201" i="12"/>
  <c r="U217" i="12" s="1"/>
  <c r="N197" i="12"/>
  <c r="M197" i="12"/>
  <c r="L197" i="12"/>
  <c r="K197" i="12"/>
  <c r="J197" i="12"/>
  <c r="I197" i="12"/>
  <c r="H197" i="12"/>
  <c r="G197" i="12"/>
  <c r="F197" i="12"/>
  <c r="U196" i="12"/>
  <c r="S196" i="12"/>
  <c r="R196" i="12"/>
  <c r="Q196" i="12"/>
  <c r="P196" i="12"/>
  <c r="O196" i="12"/>
  <c r="N196" i="12"/>
  <c r="M196" i="12"/>
  <c r="L196" i="12"/>
  <c r="K196" i="12"/>
  <c r="J196" i="12"/>
  <c r="I196" i="12"/>
  <c r="H196" i="12"/>
  <c r="G196" i="12"/>
  <c r="F196" i="12"/>
  <c r="U195" i="12"/>
  <c r="U194" i="12"/>
  <c r="U193" i="12"/>
  <c r="I193" i="12"/>
  <c r="G193" i="12"/>
  <c r="U192" i="12"/>
  <c r="S192" i="12"/>
  <c r="R192" i="12"/>
  <c r="R191" i="12"/>
  <c r="O192" i="12"/>
  <c r="O191" i="12"/>
  <c r="N192" i="12"/>
  <c r="M192" i="12"/>
  <c r="L192" i="12"/>
  <c r="L191" i="12"/>
  <c r="L217" i="12" s="1"/>
  <c r="K192" i="12"/>
  <c r="K191" i="12"/>
  <c r="J192" i="12"/>
  <c r="J191" i="12"/>
  <c r="I192" i="12"/>
  <c r="G192" i="12"/>
  <c r="F192" i="12"/>
  <c r="F191" i="12"/>
  <c r="S191" i="12"/>
  <c r="S217" i="12" s="1"/>
  <c r="Q191" i="12"/>
  <c r="P191" i="12"/>
  <c r="N191" i="12"/>
  <c r="N217" i="12" s="1"/>
  <c r="M191" i="12"/>
  <c r="I191" i="12"/>
  <c r="H191" i="12"/>
  <c r="U205" i="12"/>
  <c r="M202" i="12"/>
  <c r="M217" i="12" s="1"/>
  <c r="U204" i="12"/>
  <c r="U203" i="12"/>
  <c r="N203" i="12"/>
  <c r="N202" i="12"/>
  <c r="M203" i="12"/>
  <c r="L203" i="12"/>
  <c r="L202" i="12"/>
  <c r="K203" i="12"/>
  <c r="J203" i="12"/>
  <c r="I203" i="12"/>
  <c r="H203" i="12"/>
  <c r="H202" i="12"/>
  <c r="H217" i="12" s="1"/>
  <c r="G203" i="12"/>
  <c r="F203" i="12"/>
  <c r="F202" i="12"/>
  <c r="S202" i="12"/>
  <c r="R202" i="12"/>
  <c r="Q202" i="12"/>
  <c r="P202" i="12"/>
  <c r="O202" i="12"/>
  <c r="U185" i="12"/>
  <c r="N185" i="12"/>
  <c r="M185" i="12"/>
  <c r="L185" i="12"/>
  <c r="K185" i="12"/>
  <c r="J185" i="12"/>
  <c r="I185" i="12"/>
  <c r="H185" i="12"/>
  <c r="G185" i="12"/>
  <c r="F185" i="12"/>
  <c r="U184" i="12"/>
  <c r="R184" i="12"/>
  <c r="Q184" i="12"/>
  <c r="P184" i="12"/>
  <c r="N184" i="12"/>
  <c r="M184" i="12"/>
  <c r="L184" i="12"/>
  <c r="K184" i="12"/>
  <c r="J184" i="12"/>
  <c r="I184" i="12"/>
  <c r="H184" i="12"/>
  <c r="F184" i="12"/>
  <c r="U182" i="12"/>
  <c r="U183" i="12"/>
  <c r="S182" i="12"/>
  <c r="S181" i="12"/>
  <c r="R182" i="12"/>
  <c r="R181" i="12"/>
  <c r="N182" i="12"/>
  <c r="N181" i="12"/>
  <c r="M182" i="12"/>
  <c r="M181" i="12"/>
  <c r="L182" i="12"/>
  <c r="L181" i="12"/>
  <c r="K182" i="12"/>
  <c r="K181" i="12"/>
  <c r="J182" i="12"/>
  <c r="J181" i="12"/>
  <c r="J187" i="12" s="1"/>
  <c r="I182" i="12"/>
  <c r="I181" i="12"/>
  <c r="H182" i="12"/>
  <c r="H181" i="12"/>
  <c r="H187" i="12" s="1"/>
  <c r="G182" i="12"/>
  <c r="G181" i="12"/>
  <c r="F182" i="12"/>
  <c r="Q181" i="12"/>
  <c r="P181" i="12"/>
  <c r="O181" i="12"/>
  <c r="F181" i="12"/>
  <c r="R179" i="12"/>
  <c r="N179" i="12"/>
  <c r="M179" i="12"/>
  <c r="L179" i="12"/>
  <c r="K179" i="12"/>
  <c r="J179" i="12"/>
  <c r="I179" i="12"/>
  <c r="H179" i="12"/>
  <c r="G179" i="12"/>
  <c r="F179" i="12"/>
  <c r="L176" i="12"/>
  <c r="S177" i="12"/>
  <c r="S176" i="12"/>
  <c r="R177" i="12"/>
  <c r="Q177" i="12"/>
  <c r="Q176" i="12"/>
  <c r="O177" i="12"/>
  <c r="O176" i="12"/>
  <c r="M177" i="12"/>
  <c r="K177" i="12"/>
  <c r="J177" i="12"/>
  <c r="I177" i="12"/>
  <c r="G177" i="12"/>
  <c r="F177" i="12"/>
  <c r="P176" i="12"/>
  <c r="U174" i="12"/>
  <c r="U173" i="12"/>
  <c r="U172" i="12"/>
  <c r="K172" i="12"/>
  <c r="K168" i="12"/>
  <c r="J172" i="12"/>
  <c r="I172" i="12"/>
  <c r="H172" i="12"/>
  <c r="U171" i="12"/>
  <c r="U170" i="12"/>
  <c r="S170" i="12"/>
  <c r="M170" i="12"/>
  <c r="L170" i="12"/>
  <c r="K170" i="12"/>
  <c r="J170" i="12"/>
  <c r="I170" i="12"/>
  <c r="H170" i="12"/>
  <c r="G170" i="12"/>
  <c r="F170" i="12"/>
  <c r="U169" i="12"/>
  <c r="R169" i="12"/>
  <c r="R168" i="12"/>
  <c r="N169" i="12"/>
  <c r="N168" i="12"/>
  <c r="N187" i="12" s="1"/>
  <c r="M169" i="12"/>
  <c r="M168" i="12"/>
  <c r="M187" i="12" s="1"/>
  <c r="L169" i="12"/>
  <c r="K169" i="12"/>
  <c r="J169" i="12"/>
  <c r="I169" i="12"/>
  <c r="I168" i="12"/>
  <c r="I187" i="12" s="1"/>
  <c r="H169" i="12"/>
  <c r="G169" i="12"/>
  <c r="F169" i="12"/>
  <c r="S168" i="12"/>
  <c r="Q168" i="12"/>
  <c r="P168" i="12"/>
  <c r="O168" i="12"/>
  <c r="O187" i="12" s="1"/>
  <c r="U164" i="12"/>
  <c r="U163" i="12"/>
  <c r="N163" i="12"/>
  <c r="M163" i="12"/>
  <c r="L163" i="12"/>
  <c r="K163" i="12"/>
  <c r="J163" i="12"/>
  <c r="I163" i="12"/>
  <c r="H163" i="12"/>
  <c r="G163" i="12"/>
  <c r="F163" i="12"/>
  <c r="U162" i="12"/>
  <c r="R162" i="12"/>
  <c r="R165" i="12"/>
  <c r="Q162" i="12"/>
  <c r="Q165" i="12"/>
  <c r="P162" i="12"/>
  <c r="P165" i="12"/>
  <c r="N162" i="12"/>
  <c r="M162" i="12"/>
  <c r="L162" i="12"/>
  <c r="K162" i="12"/>
  <c r="J162" i="12"/>
  <c r="I162" i="12"/>
  <c r="H162" i="12"/>
  <c r="F162" i="12"/>
  <c r="S160" i="12"/>
  <c r="M160" i="12"/>
  <c r="L160" i="12"/>
  <c r="K160" i="12"/>
  <c r="J160" i="12"/>
  <c r="I160" i="12"/>
  <c r="H160" i="12"/>
  <c r="R153" i="12"/>
  <c r="N153" i="12"/>
  <c r="M153" i="12"/>
  <c r="L153" i="12"/>
  <c r="K153" i="12"/>
  <c r="J153" i="12"/>
  <c r="I153" i="12"/>
  <c r="H153" i="12"/>
  <c r="G153" i="12"/>
  <c r="F153" i="12"/>
  <c r="L150" i="12"/>
  <c r="S151" i="12"/>
  <c r="S150" i="12"/>
  <c r="R151" i="12"/>
  <c r="Q151" i="12"/>
  <c r="Q150" i="12"/>
  <c r="O151" i="12"/>
  <c r="M151" i="12"/>
  <c r="K151" i="12"/>
  <c r="J151" i="12"/>
  <c r="I151" i="12"/>
  <c r="G151" i="12"/>
  <c r="F151" i="12"/>
  <c r="P150" i="12"/>
  <c r="U148" i="12"/>
  <c r="S148" i="12"/>
  <c r="S147" i="12"/>
  <c r="N148" i="12"/>
  <c r="N147" i="12"/>
  <c r="N165" i="12" s="1"/>
  <c r="M148" i="12"/>
  <c r="M147" i="12"/>
  <c r="M165" i="12" s="1"/>
  <c r="L148" i="12"/>
  <c r="L147" i="12"/>
  <c r="L165" i="12" s="1"/>
  <c r="K148" i="12"/>
  <c r="K147" i="12"/>
  <c r="J148" i="12"/>
  <c r="J147" i="12"/>
  <c r="J165" i="12"/>
  <c r="I148" i="12"/>
  <c r="I147" i="12"/>
  <c r="I165" i="12"/>
  <c r="H148" i="12"/>
  <c r="H147" i="12"/>
  <c r="G148" i="12"/>
  <c r="G147" i="12"/>
  <c r="G165" i="12" s="1"/>
  <c r="F148" i="12"/>
  <c r="F147" i="12"/>
  <c r="R147" i="12"/>
  <c r="Q147" i="12"/>
  <c r="P147" i="12"/>
  <c r="O147" i="12"/>
  <c r="U145" i="12"/>
  <c r="U144" i="12"/>
  <c r="U143" i="12"/>
  <c r="S143" i="12"/>
  <c r="S141" i="12"/>
  <c r="S165" i="12" s="1"/>
  <c r="M143" i="12"/>
  <c r="L143" i="12"/>
  <c r="K143" i="12"/>
  <c r="J143" i="12"/>
  <c r="I143" i="12"/>
  <c r="H143" i="12"/>
  <c r="G143" i="12"/>
  <c r="F143" i="12"/>
  <c r="U142" i="12"/>
  <c r="N142" i="12"/>
  <c r="N141" i="12"/>
  <c r="M142" i="12"/>
  <c r="L142" i="12"/>
  <c r="K142" i="12"/>
  <c r="J142" i="12"/>
  <c r="I142" i="12"/>
  <c r="G142" i="12"/>
  <c r="F142" i="12"/>
  <c r="F141" i="12"/>
  <c r="R141" i="12"/>
  <c r="Q141" i="12"/>
  <c r="P141" i="12"/>
  <c r="O141" i="12"/>
  <c r="H141" i="12"/>
  <c r="H165" i="12" s="1"/>
  <c r="R125" i="12"/>
  <c r="N125" i="12"/>
  <c r="M125" i="12"/>
  <c r="L125" i="12"/>
  <c r="K125" i="12"/>
  <c r="J125" i="12"/>
  <c r="I125" i="12"/>
  <c r="H125" i="12"/>
  <c r="G125" i="12"/>
  <c r="F125" i="12"/>
  <c r="S123" i="12"/>
  <c r="S122" i="12"/>
  <c r="S137" i="12" s="1"/>
  <c r="R123" i="12"/>
  <c r="Q123" i="12"/>
  <c r="Q122" i="12"/>
  <c r="O123" i="12"/>
  <c r="M123" i="12"/>
  <c r="K123" i="12"/>
  <c r="J123" i="12"/>
  <c r="I123" i="12"/>
  <c r="G123" i="12"/>
  <c r="F123" i="12"/>
  <c r="P122" i="12"/>
  <c r="U134" i="12"/>
  <c r="S134" i="12"/>
  <c r="S130" i="12"/>
  <c r="R134" i="12"/>
  <c r="Q134" i="12"/>
  <c r="P134" i="12"/>
  <c r="P130" i="12"/>
  <c r="O134" i="12"/>
  <c r="O130" i="12"/>
  <c r="O137" i="12" s="1"/>
  <c r="N134" i="12"/>
  <c r="M134" i="12"/>
  <c r="L134" i="12"/>
  <c r="L130" i="12"/>
  <c r="L137" i="12" s="1"/>
  <c r="K134" i="12"/>
  <c r="J134" i="12"/>
  <c r="I134" i="12"/>
  <c r="H134" i="12"/>
  <c r="G134" i="12"/>
  <c r="F134" i="12"/>
  <c r="U133" i="12"/>
  <c r="K133" i="12"/>
  <c r="J133" i="12"/>
  <c r="I133" i="12"/>
  <c r="H133" i="12"/>
  <c r="U132" i="12"/>
  <c r="U131" i="12"/>
  <c r="R131" i="12"/>
  <c r="R130" i="12"/>
  <c r="Q131" i="12"/>
  <c r="Q130" i="12"/>
  <c r="N131" i="12"/>
  <c r="M131" i="12"/>
  <c r="K131" i="12"/>
  <c r="I131" i="12"/>
  <c r="H131" i="12"/>
  <c r="G131" i="12"/>
  <c r="G130" i="12"/>
  <c r="F131" i="12"/>
  <c r="F130" i="12"/>
  <c r="F137" i="12" s="1"/>
  <c r="S129" i="12"/>
  <c r="M129" i="12"/>
  <c r="J129" i="12"/>
  <c r="U128" i="12"/>
  <c r="N128" i="12"/>
  <c r="M128" i="12"/>
  <c r="L128" i="12"/>
  <c r="K128" i="12"/>
  <c r="J128" i="12"/>
  <c r="I128" i="12"/>
  <c r="H128" i="12"/>
  <c r="G128" i="12"/>
  <c r="F128" i="12"/>
  <c r="U127" i="12"/>
  <c r="R127" i="12"/>
  <c r="Q127" i="12"/>
  <c r="P127" i="12"/>
  <c r="N127" i="12"/>
  <c r="M127" i="12"/>
  <c r="L127" i="12"/>
  <c r="K127" i="12"/>
  <c r="J127" i="12"/>
  <c r="I127" i="12"/>
  <c r="H127" i="12"/>
  <c r="F127" i="12"/>
  <c r="S113" i="12"/>
  <c r="O7" i="12"/>
  <c r="O17" i="12"/>
  <c r="N17" i="12"/>
  <c r="M17" i="12"/>
  <c r="L17" i="12"/>
  <c r="K17" i="12"/>
  <c r="J17" i="12"/>
  <c r="I17" i="12"/>
  <c r="H17" i="12"/>
  <c r="G17" i="12"/>
  <c r="F17" i="12"/>
  <c r="I119" i="12"/>
  <c r="H119" i="12"/>
  <c r="G119" i="12"/>
  <c r="F119" i="12"/>
  <c r="I118" i="12"/>
  <c r="G118" i="12"/>
  <c r="K117" i="12"/>
  <c r="J117" i="12"/>
  <c r="I117" i="12"/>
  <c r="H117" i="12"/>
  <c r="R116" i="12"/>
  <c r="R113" i="12"/>
  <c r="Q116" i="12"/>
  <c r="Q113" i="12"/>
  <c r="Q137" i="12" s="1"/>
  <c r="P116" i="12"/>
  <c r="P113" i="12"/>
  <c r="O116" i="12"/>
  <c r="N116" i="12"/>
  <c r="M116" i="12"/>
  <c r="L116" i="12"/>
  <c r="K116" i="12"/>
  <c r="J116" i="12"/>
  <c r="I116" i="12"/>
  <c r="H116" i="12"/>
  <c r="G116" i="12"/>
  <c r="F116" i="12"/>
  <c r="U114" i="12"/>
  <c r="U121" i="12"/>
  <c r="U137" i="12" s="1"/>
  <c r="N114" i="12"/>
  <c r="M114" i="12"/>
  <c r="L114" i="12"/>
  <c r="K114" i="12"/>
  <c r="J114" i="12"/>
  <c r="I114" i="12"/>
  <c r="H114" i="12"/>
  <c r="G114" i="12"/>
  <c r="F114" i="12"/>
  <c r="U109" i="12"/>
  <c r="N109" i="12"/>
  <c r="M109" i="12"/>
  <c r="L109" i="12"/>
  <c r="K109" i="12"/>
  <c r="J109" i="12"/>
  <c r="I109" i="12"/>
  <c r="H109" i="12"/>
  <c r="G109" i="12"/>
  <c r="F109" i="12"/>
  <c r="U108" i="12"/>
  <c r="R108" i="12"/>
  <c r="Q108" i="12"/>
  <c r="P108" i="12"/>
  <c r="N108" i="12"/>
  <c r="M108" i="12"/>
  <c r="L108" i="12"/>
  <c r="K108" i="12"/>
  <c r="J108" i="12"/>
  <c r="I108" i="12"/>
  <c r="H108" i="12"/>
  <c r="F108" i="12"/>
  <c r="U107" i="12"/>
  <c r="S107" i="12"/>
  <c r="N107" i="12"/>
  <c r="M107" i="12"/>
  <c r="L107" i="12"/>
  <c r="K107" i="12"/>
  <c r="J107" i="12"/>
  <c r="I107" i="12"/>
  <c r="H107" i="12"/>
  <c r="G107" i="12"/>
  <c r="F107" i="12"/>
  <c r="U106" i="12"/>
  <c r="U104" i="12"/>
  <c r="U105" i="12"/>
  <c r="S104" i="12"/>
  <c r="S103" i="12"/>
  <c r="R104" i="12"/>
  <c r="R103" i="12"/>
  <c r="N104" i="12"/>
  <c r="M104" i="12"/>
  <c r="M103" i="12"/>
  <c r="L104" i="12"/>
  <c r="L103" i="12"/>
  <c r="K104" i="12"/>
  <c r="K103" i="12"/>
  <c r="J104" i="12"/>
  <c r="I104" i="12"/>
  <c r="I103" i="12"/>
  <c r="H104" i="12"/>
  <c r="H103" i="12"/>
  <c r="G104" i="12"/>
  <c r="G103" i="12"/>
  <c r="F104" i="12"/>
  <c r="F103" i="12"/>
  <c r="Q103" i="12"/>
  <c r="P103" i="12"/>
  <c r="O103" i="12"/>
  <c r="N103" i="12"/>
  <c r="J103" i="12"/>
  <c r="J110" i="12" s="1"/>
  <c r="U101" i="12"/>
  <c r="U100" i="12"/>
  <c r="S100" i="12"/>
  <c r="M100" i="12"/>
  <c r="L100" i="12"/>
  <c r="K100" i="12"/>
  <c r="J100" i="12"/>
  <c r="I100" i="12"/>
  <c r="H100" i="12"/>
  <c r="G100" i="12"/>
  <c r="F100" i="12"/>
  <c r="U99" i="12"/>
  <c r="U98" i="12"/>
  <c r="U102" i="12"/>
  <c r="S98" i="12"/>
  <c r="R98" i="12"/>
  <c r="R97" i="12"/>
  <c r="N98" i="12"/>
  <c r="M98" i="12"/>
  <c r="L98" i="12"/>
  <c r="K98" i="12"/>
  <c r="K97" i="12"/>
  <c r="K110" i="12" s="1"/>
  <c r="J98" i="12"/>
  <c r="I98" i="12"/>
  <c r="H98" i="12"/>
  <c r="G98" i="12"/>
  <c r="G97" i="12"/>
  <c r="F98" i="12"/>
  <c r="Q97" i="12"/>
  <c r="P97" i="12"/>
  <c r="O97" i="12"/>
  <c r="O110" i="12" s="1"/>
  <c r="U95" i="12"/>
  <c r="U94" i="12"/>
  <c r="U93" i="12"/>
  <c r="U92" i="12"/>
  <c r="U91" i="12"/>
  <c r="I91" i="12"/>
  <c r="G91" i="12"/>
  <c r="U90" i="12"/>
  <c r="S90" i="12"/>
  <c r="M90" i="12"/>
  <c r="L90" i="12"/>
  <c r="K90" i="12"/>
  <c r="J90" i="12"/>
  <c r="I90" i="12"/>
  <c r="H90" i="12"/>
  <c r="H86" i="12"/>
  <c r="F90" i="12"/>
  <c r="U89" i="12"/>
  <c r="U88" i="12"/>
  <c r="U87" i="12"/>
  <c r="R87" i="12"/>
  <c r="R86" i="12"/>
  <c r="N87" i="12"/>
  <c r="N86" i="12"/>
  <c r="M87" i="12"/>
  <c r="M86" i="12"/>
  <c r="M110" i="12" s="1"/>
  <c r="L87" i="12"/>
  <c r="L86" i="12"/>
  <c r="K87" i="12"/>
  <c r="K86" i="12"/>
  <c r="J87" i="12"/>
  <c r="J86" i="12"/>
  <c r="I87" i="12"/>
  <c r="I86" i="12"/>
  <c r="G87" i="12"/>
  <c r="G86" i="12"/>
  <c r="F87" i="12"/>
  <c r="F86" i="12"/>
  <c r="S86" i="12"/>
  <c r="Q86" i="12"/>
  <c r="P86" i="12"/>
  <c r="O86" i="12"/>
  <c r="U79" i="12"/>
  <c r="N79" i="12"/>
  <c r="M79" i="12"/>
  <c r="L79" i="12"/>
  <c r="K79" i="12"/>
  <c r="J79" i="12"/>
  <c r="I79" i="12"/>
  <c r="H79" i="12"/>
  <c r="G79" i="12"/>
  <c r="F79" i="12"/>
  <c r="U78" i="12"/>
  <c r="R78" i="12"/>
  <c r="Q78" i="12"/>
  <c r="P78" i="12"/>
  <c r="N78" i="12"/>
  <c r="M78" i="12"/>
  <c r="L78" i="12"/>
  <c r="K78" i="12"/>
  <c r="J78" i="12"/>
  <c r="I78" i="12"/>
  <c r="H78" i="12"/>
  <c r="F78" i="12"/>
  <c r="U76" i="12"/>
  <c r="U75" i="12"/>
  <c r="U74" i="12"/>
  <c r="K74" i="12"/>
  <c r="J74" i="12"/>
  <c r="I74" i="12"/>
  <c r="H74" i="12"/>
  <c r="U73" i="12"/>
  <c r="U77" i="12"/>
  <c r="I73" i="12"/>
  <c r="I72" i="12"/>
  <c r="I82" i="12" s="1"/>
  <c r="H73" i="12"/>
  <c r="F73" i="12"/>
  <c r="F72" i="12"/>
  <c r="S72" i="12"/>
  <c r="R72" i="12"/>
  <c r="Q72" i="12"/>
  <c r="P72" i="12"/>
  <c r="O72" i="12"/>
  <c r="N72" i="12"/>
  <c r="M72" i="12"/>
  <c r="L72" i="12"/>
  <c r="K72" i="12"/>
  <c r="K82" i="12" s="1"/>
  <c r="J72" i="12"/>
  <c r="G72" i="12"/>
  <c r="R70" i="12"/>
  <c r="N70" i="12"/>
  <c r="N67" i="12"/>
  <c r="M70" i="12"/>
  <c r="L70" i="12"/>
  <c r="K70" i="12"/>
  <c r="J70" i="12"/>
  <c r="I70" i="12"/>
  <c r="H70" i="12"/>
  <c r="G70" i="12"/>
  <c r="F70" i="12"/>
  <c r="S68" i="12"/>
  <c r="S67" i="12"/>
  <c r="R68" i="12"/>
  <c r="Q68" i="12"/>
  <c r="O68" i="12"/>
  <c r="M68" i="12"/>
  <c r="M67" i="12"/>
  <c r="K68" i="12"/>
  <c r="J68" i="12"/>
  <c r="I68" i="12"/>
  <c r="G68" i="12"/>
  <c r="F68" i="12"/>
  <c r="Q67" i="12"/>
  <c r="P67" i="12"/>
  <c r="R58" i="12"/>
  <c r="Q58" i="12"/>
  <c r="P58" i="12"/>
  <c r="O58" i="12"/>
  <c r="O57" i="12"/>
  <c r="O82" i="12" s="1"/>
  <c r="N58" i="12"/>
  <c r="M58" i="12"/>
  <c r="L58" i="12"/>
  <c r="K58" i="12"/>
  <c r="J58" i="12"/>
  <c r="I58" i="12"/>
  <c r="G58" i="12"/>
  <c r="F58" i="12"/>
  <c r="R64" i="12"/>
  <c r="P64" i="12"/>
  <c r="N64" i="12"/>
  <c r="M64" i="12"/>
  <c r="L64" i="12"/>
  <c r="K64" i="12"/>
  <c r="J64" i="12"/>
  <c r="I64" i="12"/>
  <c r="H64" i="12"/>
  <c r="G64" i="12"/>
  <c r="F64" i="12"/>
  <c r="S60" i="12"/>
  <c r="R60" i="12"/>
  <c r="N60" i="12"/>
  <c r="M60" i="12"/>
  <c r="L60" i="12"/>
  <c r="K60" i="12"/>
  <c r="J60" i="12"/>
  <c r="I60" i="12"/>
  <c r="H60" i="12"/>
  <c r="G60" i="12"/>
  <c r="F60" i="12"/>
  <c r="S62" i="12"/>
  <c r="R62" i="12"/>
  <c r="Q62" i="12"/>
  <c r="N62" i="12"/>
  <c r="M62" i="12"/>
  <c r="L62" i="12"/>
  <c r="K62" i="12"/>
  <c r="J62" i="12"/>
  <c r="I62" i="12"/>
  <c r="H62" i="12"/>
  <c r="F62" i="12"/>
  <c r="S63" i="12"/>
  <c r="R63" i="12"/>
  <c r="Q63" i="12"/>
  <c r="P63" i="12"/>
  <c r="N63" i="12"/>
  <c r="M63" i="12"/>
  <c r="L63" i="12"/>
  <c r="K63" i="12"/>
  <c r="J63" i="12"/>
  <c r="I63" i="12"/>
  <c r="H63" i="12"/>
  <c r="G63" i="12"/>
  <c r="F63" i="12"/>
  <c r="S61" i="12"/>
  <c r="R61" i="12"/>
  <c r="N61" i="12"/>
  <c r="M61" i="12"/>
  <c r="L61" i="12"/>
  <c r="K61" i="12"/>
  <c r="J61" i="12"/>
  <c r="I61" i="12"/>
  <c r="H61" i="12"/>
  <c r="G61" i="12"/>
  <c r="F61" i="12"/>
  <c r="I59" i="12"/>
  <c r="G59" i="12"/>
  <c r="N52" i="12"/>
  <c r="M52" i="12"/>
  <c r="L52" i="12"/>
  <c r="K52" i="12"/>
  <c r="J52" i="12"/>
  <c r="I52" i="12"/>
  <c r="H52" i="12"/>
  <c r="G52" i="12"/>
  <c r="F52" i="12"/>
  <c r="R51" i="12"/>
  <c r="Q51" i="12"/>
  <c r="P51" i="12"/>
  <c r="N51" i="12"/>
  <c r="M51" i="12"/>
  <c r="L51" i="12"/>
  <c r="K51" i="12"/>
  <c r="J51" i="12"/>
  <c r="I51" i="12"/>
  <c r="H51" i="12"/>
  <c r="F51" i="12"/>
  <c r="U52" i="12"/>
  <c r="U51" i="12"/>
  <c r="U49" i="12"/>
  <c r="U48" i="12"/>
  <c r="K48" i="12"/>
  <c r="J48" i="12"/>
  <c r="I48" i="12"/>
  <c r="H48" i="12"/>
  <c r="U47" i="12"/>
  <c r="S47" i="12"/>
  <c r="R47" i="12"/>
  <c r="Q47" i="12"/>
  <c r="P47" i="12"/>
  <c r="N47" i="12"/>
  <c r="M47" i="12"/>
  <c r="L47" i="12"/>
  <c r="K47" i="12"/>
  <c r="J47" i="12"/>
  <c r="I47" i="12"/>
  <c r="H47" i="12"/>
  <c r="G47" i="12"/>
  <c r="F47" i="12"/>
  <c r="U46" i="12"/>
  <c r="R46" i="12"/>
  <c r="Q46" i="12"/>
  <c r="Q45" i="12"/>
  <c r="Q54" i="12" s="1"/>
  <c r="P46" i="12"/>
  <c r="O46" i="12"/>
  <c r="O45" i="12"/>
  <c r="O54" i="12" s="1"/>
  <c r="O282" i="12" s="1"/>
  <c r="O283" i="12" s="1"/>
  <c r="N46" i="12"/>
  <c r="M46" i="12"/>
  <c r="L46" i="12"/>
  <c r="K46" i="12"/>
  <c r="J46" i="12"/>
  <c r="I46" i="12"/>
  <c r="H46" i="12"/>
  <c r="G46" i="12"/>
  <c r="F46" i="12"/>
  <c r="S45" i="12"/>
  <c r="S54" i="12" s="1"/>
  <c r="U43" i="12"/>
  <c r="M43" i="12"/>
  <c r="L43" i="12"/>
  <c r="K43" i="12"/>
  <c r="J43" i="12"/>
  <c r="I43" i="12"/>
  <c r="H43" i="12"/>
  <c r="G43" i="12"/>
  <c r="F43" i="12"/>
  <c r="U42" i="12"/>
  <c r="M42" i="12"/>
  <c r="L42" i="12"/>
  <c r="K42" i="12"/>
  <c r="J42" i="12"/>
  <c r="I42" i="12"/>
  <c r="H42" i="12"/>
  <c r="G42" i="12"/>
  <c r="F42" i="12"/>
  <c r="U41" i="12"/>
  <c r="R41" i="12"/>
  <c r="N41" i="12"/>
  <c r="M41" i="12"/>
  <c r="L41" i="12"/>
  <c r="K41" i="12"/>
  <c r="J41" i="12"/>
  <c r="I41" i="12"/>
  <c r="H41" i="12"/>
  <c r="G41" i="12"/>
  <c r="F41" i="12"/>
  <c r="U40" i="12"/>
  <c r="U39" i="12"/>
  <c r="N39" i="12"/>
  <c r="M39" i="12"/>
  <c r="L39" i="12"/>
  <c r="K39" i="12"/>
  <c r="J39" i="12"/>
  <c r="I39" i="12"/>
  <c r="G39" i="12"/>
  <c r="F39" i="12"/>
  <c r="U38" i="12"/>
  <c r="U37" i="12"/>
  <c r="K37" i="12"/>
  <c r="J37" i="12"/>
  <c r="I37" i="12"/>
  <c r="H37" i="12"/>
  <c r="U36" i="12"/>
  <c r="N36" i="12"/>
  <c r="M36" i="12"/>
  <c r="L36" i="12"/>
  <c r="K36" i="12"/>
  <c r="J36" i="12"/>
  <c r="I36" i="12"/>
  <c r="H36" i="12"/>
  <c r="G36" i="12"/>
  <c r="F36" i="12"/>
  <c r="U35" i="12"/>
  <c r="N35" i="12"/>
  <c r="M35" i="12"/>
  <c r="L35" i="12"/>
  <c r="K35" i="12"/>
  <c r="J35" i="12"/>
  <c r="I35" i="12"/>
  <c r="H35" i="12"/>
  <c r="G35" i="12"/>
  <c r="F35" i="12"/>
  <c r="U28" i="12"/>
  <c r="N28" i="12"/>
  <c r="M28" i="12"/>
  <c r="L28" i="12"/>
  <c r="K28" i="12"/>
  <c r="J28" i="12"/>
  <c r="I28" i="12"/>
  <c r="H28" i="12"/>
  <c r="G28" i="12"/>
  <c r="F28" i="12"/>
  <c r="U27" i="12"/>
  <c r="R27" i="12"/>
  <c r="Q27" i="12"/>
  <c r="P27" i="12"/>
  <c r="N27" i="12"/>
  <c r="M27" i="12"/>
  <c r="L27" i="12"/>
  <c r="K27" i="12"/>
  <c r="J27" i="12"/>
  <c r="I27" i="12"/>
  <c r="H27" i="12"/>
  <c r="F27" i="12"/>
  <c r="U25" i="12"/>
  <c r="S25" i="12"/>
  <c r="M25" i="12"/>
  <c r="L25" i="12"/>
  <c r="K25" i="12"/>
  <c r="J25" i="12"/>
  <c r="I25" i="12"/>
  <c r="H25" i="12"/>
  <c r="U24" i="12"/>
  <c r="U23" i="12"/>
  <c r="U22" i="12"/>
  <c r="R18" i="12"/>
  <c r="N18" i="12"/>
  <c r="N15" i="12"/>
  <c r="M18" i="12"/>
  <c r="L18" i="12"/>
  <c r="K18" i="12"/>
  <c r="J18" i="12"/>
  <c r="I18" i="12"/>
  <c r="H18" i="12"/>
  <c r="G18" i="12"/>
  <c r="F18" i="12"/>
  <c r="S16" i="12"/>
  <c r="S15" i="12"/>
  <c r="R16" i="12"/>
  <c r="Q16" i="12"/>
  <c r="O16" i="12"/>
  <c r="M16" i="12"/>
  <c r="K16" i="12"/>
  <c r="J16" i="12"/>
  <c r="I16" i="12"/>
  <c r="G16" i="12"/>
  <c r="F16" i="12"/>
  <c r="Q15" i="12"/>
  <c r="Q30" i="12" s="1"/>
  <c r="P15" i="12"/>
  <c r="M15" i="12"/>
  <c r="U13" i="12"/>
  <c r="U14" i="12"/>
  <c r="K11" i="12"/>
  <c r="K7" i="12"/>
  <c r="K30" i="12" s="1"/>
  <c r="K282" i="12" s="1"/>
  <c r="K283" i="12" s="1"/>
  <c r="J11" i="12"/>
  <c r="I11" i="12"/>
  <c r="H11" i="12"/>
  <c r="S9" i="12"/>
  <c r="S7" i="12"/>
  <c r="S30" i="12" s="1"/>
  <c r="M9" i="12"/>
  <c r="L9" i="12"/>
  <c r="K9" i="12"/>
  <c r="J9" i="12"/>
  <c r="I9" i="12"/>
  <c r="H9" i="12"/>
  <c r="G9" i="12"/>
  <c r="F9" i="12"/>
  <c r="R8" i="12"/>
  <c r="R7" i="12"/>
  <c r="R30" i="12" s="1"/>
  <c r="N8" i="12"/>
  <c r="N7" i="12"/>
  <c r="N30" i="12" s="1"/>
  <c r="M8" i="12"/>
  <c r="L8" i="12"/>
  <c r="K8" i="12"/>
  <c r="J8" i="12"/>
  <c r="I8" i="12"/>
  <c r="H8" i="12"/>
  <c r="G8" i="12"/>
  <c r="F8" i="12"/>
  <c r="Q7" i="12"/>
  <c r="P7" i="12"/>
  <c r="U215" i="12"/>
  <c r="U29" i="12"/>
  <c r="U213" i="12"/>
  <c r="U212" i="12"/>
  <c r="U211" i="12"/>
  <c r="K211" i="12"/>
  <c r="J211" i="12"/>
  <c r="J209" i="12"/>
  <c r="I211" i="12"/>
  <c r="H211" i="12"/>
  <c r="U210" i="12"/>
  <c r="U214" i="12"/>
  <c r="I210" i="12"/>
  <c r="I209" i="12"/>
  <c r="I217" i="12" s="1"/>
  <c r="H210" i="12"/>
  <c r="F210" i="12"/>
  <c r="F209" i="12"/>
  <c r="S209" i="12"/>
  <c r="R209" i="12"/>
  <c r="Q209" i="12"/>
  <c r="P209" i="12"/>
  <c r="O209" i="12"/>
  <c r="N209" i="12"/>
  <c r="M209" i="12"/>
  <c r="L209" i="12"/>
  <c r="K209" i="12"/>
  <c r="G209" i="12"/>
  <c r="U53" i="12"/>
  <c r="S53" i="12"/>
  <c r="N53" i="12"/>
  <c r="M53" i="12"/>
  <c r="L53" i="12"/>
  <c r="K53" i="12"/>
  <c r="J53" i="12"/>
  <c r="I53" i="12"/>
  <c r="H53" i="12"/>
  <c r="G53" i="12"/>
  <c r="F53" i="12"/>
  <c r="U186" i="12"/>
  <c r="S186" i="12"/>
  <c r="N186" i="12"/>
  <c r="M186" i="12"/>
  <c r="L186" i="12"/>
  <c r="K186" i="12"/>
  <c r="J186" i="12"/>
  <c r="I186" i="12"/>
  <c r="H186" i="12"/>
  <c r="G186" i="12"/>
  <c r="F186" i="12"/>
  <c r="U18" i="12"/>
  <c r="U17" i="12"/>
  <c r="U16" i="12"/>
  <c r="U19" i="12"/>
  <c r="U12" i="12"/>
  <c r="U11" i="12"/>
  <c r="U10" i="12"/>
  <c r="U9" i="12"/>
  <c r="U8" i="12"/>
  <c r="I202" i="12"/>
  <c r="G234" i="12"/>
  <c r="G248" i="12" s="1"/>
  <c r="H45" i="12"/>
  <c r="I57" i="12"/>
  <c r="M113" i="12"/>
  <c r="M137" i="12" s="1"/>
  <c r="U135" i="12"/>
  <c r="G191" i="12"/>
  <c r="K234" i="12"/>
  <c r="N240" i="12"/>
  <c r="H268" i="12"/>
  <c r="L268" i="12"/>
  <c r="U26" i="12"/>
  <c r="U50" i="12"/>
  <c r="H234" i="12"/>
  <c r="G168" i="12"/>
  <c r="J202" i="12"/>
  <c r="J217" i="12" s="1"/>
  <c r="F113" i="12"/>
  <c r="J113" i="12"/>
  <c r="J137" i="12" s="1"/>
  <c r="N113" i="12"/>
  <c r="G202" i="12"/>
  <c r="G217" i="12" s="1"/>
  <c r="K202" i="12"/>
  <c r="U206" i="12"/>
  <c r="M141" i="12"/>
  <c r="R122" i="12"/>
  <c r="J150" i="12"/>
  <c r="K150" i="12"/>
  <c r="M150" i="12"/>
  <c r="F168" i="12"/>
  <c r="J168" i="12"/>
  <c r="K176" i="12"/>
  <c r="R176" i="12"/>
  <c r="R187" i="12" s="1"/>
  <c r="K122" i="12"/>
  <c r="R150" i="12"/>
  <c r="H168" i="12"/>
  <c r="L168" i="12"/>
  <c r="L187" i="12" s="1"/>
  <c r="N176" i="12"/>
  <c r="O122" i="12"/>
  <c r="O150" i="12"/>
  <c r="J176" i="12"/>
  <c r="M176" i="12"/>
  <c r="J141" i="12"/>
  <c r="L141" i="12"/>
  <c r="N130" i="12"/>
  <c r="M122" i="12"/>
  <c r="I141" i="12"/>
  <c r="G141" i="12"/>
  <c r="K141" i="12"/>
  <c r="U175" i="12"/>
  <c r="U187" i="12" s="1"/>
  <c r="L122" i="12"/>
  <c r="H97" i="12"/>
  <c r="N150" i="12"/>
  <c r="U146" i="12"/>
  <c r="U165" i="12" s="1"/>
  <c r="I113" i="12"/>
  <c r="O113" i="12"/>
  <c r="L97" i="12"/>
  <c r="L110" i="12" s="1"/>
  <c r="H113" i="12"/>
  <c r="L113" i="12"/>
  <c r="M130" i="12"/>
  <c r="N122" i="12"/>
  <c r="J122" i="12"/>
  <c r="R15" i="12"/>
  <c r="J130" i="12"/>
  <c r="U96" i="12"/>
  <c r="U110" i="12" s="1"/>
  <c r="G113" i="12"/>
  <c r="G137" i="12" s="1"/>
  <c r="K113" i="12"/>
  <c r="K137" i="12" s="1"/>
  <c r="K130" i="12"/>
  <c r="I130" i="12"/>
  <c r="H130" i="12"/>
  <c r="H137" i="12" s="1"/>
  <c r="P45" i="12"/>
  <c r="P57" i="12"/>
  <c r="P82" i="12" s="1"/>
  <c r="Q57" i="12"/>
  <c r="Q82" i="12" s="1"/>
  <c r="H72" i="12"/>
  <c r="S97" i="12"/>
  <c r="S110" i="12" s="1"/>
  <c r="O67" i="12"/>
  <c r="I97" i="12"/>
  <c r="M97" i="12"/>
  <c r="F97" i="12"/>
  <c r="J97" i="12"/>
  <c r="N97" i="12"/>
  <c r="G7" i="12"/>
  <c r="O15" i="12"/>
  <c r="M57" i="12"/>
  <c r="M82" i="12" s="1"/>
  <c r="G57" i="12"/>
  <c r="K67" i="12"/>
  <c r="R67" i="12"/>
  <c r="L67" i="12"/>
  <c r="M7" i="12"/>
  <c r="I45" i="12"/>
  <c r="H57" i="12"/>
  <c r="L57" i="12"/>
  <c r="L82" i="12" s="1"/>
  <c r="S57" i="12"/>
  <c r="F57" i="12"/>
  <c r="K57" i="12"/>
  <c r="L7" i="12"/>
  <c r="L30" i="12" s="1"/>
  <c r="K15" i="12"/>
  <c r="J57" i="12"/>
  <c r="N57" i="12"/>
  <c r="N82" i="12" s="1"/>
  <c r="R57" i="12"/>
  <c r="R82" i="12" s="1"/>
  <c r="H209" i="12"/>
  <c r="H7" i="12"/>
  <c r="I7" i="12"/>
  <c r="I30" i="12" s="1"/>
  <c r="U44" i="12"/>
  <c r="U54" i="12" s="1"/>
  <c r="F45" i="12"/>
  <c r="J45" i="12"/>
  <c r="N45" i="12"/>
  <c r="R45" i="12"/>
  <c r="L45" i="12"/>
  <c r="F7" i="12"/>
  <c r="J7" i="12"/>
  <c r="J30" i="12" s="1"/>
  <c r="J15" i="12"/>
  <c r="L15" i="12"/>
  <c r="G45" i="12"/>
  <c r="K45" i="12"/>
  <c r="M45" i="12"/>
  <c r="J67" i="12"/>
  <c r="R8" i="13"/>
  <c r="R13" i="13" s="1"/>
  <c r="R110" i="13" s="1"/>
  <c r="R111" i="13" s="1"/>
  <c r="K165" i="12"/>
  <c r="F165" i="12"/>
  <c r="L252" i="12"/>
  <c r="U267" i="12"/>
  <c r="U66" i="12"/>
  <c r="U82" i="12" s="1"/>
  <c r="G34" i="12"/>
  <c r="G54" i="12" s="1"/>
  <c r="K34" i="12"/>
  <c r="N34" i="12"/>
  <c r="F34" i="12"/>
  <c r="F54" i="12" s="1"/>
  <c r="J34" i="12"/>
  <c r="J54" i="12" s="1"/>
  <c r="I34" i="12"/>
  <c r="I54" i="12" s="1"/>
  <c r="M34" i="12"/>
  <c r="H34" i="12"/>
  <c r="H54" i="12" s="1"/>
  <c r="L34" i="12"/>
  <c r="L54" i="12" s="1"/>
  <c r="F282" i="12" l="1"/>
  <c r="F283" i="12" s="1"/>
  <c r="I282" i="12"/>
  <c r="I283" i="12" s="1"/>
  <c r="Q282" i="12"/>
  <c r="Q283" i="12" s="1"/>
  <c r="N282" i="12"/>
  <c r="N283" i="12" s="1"/>
  <c r="S282" i="12"/>
  <c r="S283" i="12" s="1"/>
  <c r="G282" i="12"/>
  <c r="G283" i="12" s="1"/>
  <c r="R282" i="12"/>
  <c r="R283" i="12" s="1"/>
  <c r="J282" i="12"/>
  <c r="J283" i="12" s="1"/>
  <c r="U282" i="12"/>
  <c r="U283" i="12" s="1"/>
  <c r="L282" i="12"/>
  <c r="L283" i="12" s="1"/>
  <c r="M282" i="12"/>
  <c r="M283" i="12" s="1"/>
  <c r="H282" i="12"/>
  <c r="H283" i="12" s="1"/>
</calcChain>
</file>

<file path=xl/sharedStrings.xml><?xml version="1.0" encoding="utf-8"?>
<sst xmlns="http://schemas.openxmlformats.org/spreadsheetml/2006/main" count="606" uniqueCount="176">
  <si>
    <t>ЗАВТРАК</t>
  </si>
  <si>
    <t>Хлеб пшеничный йодированный</t>
  </si>
  <si>
    <t>Ca</t>
  </si>
  <si>
    <t>Mg</t>
  </si>
  <si>
    <t>P</t>
  </si>
  <si>
    <t>Fe</t>
  </si>
  <si>
    <t>А</t>
  </si>
  <si>
    <t>В1</t>
  </si>
  <si>
    <t>В2</t>
  </si>
  <si>
    <t>РР</t>
  </si>
  <si>
    <t>С</t>
  </si>
  <si>
    <t>г/п</t>
  </si>
  <si>
    <t xml:space="preserve">Итого за завтрак </t>
  </si>
  <si>
    <t>К</t>
  </si>
  <si>
    <t>молоко</t>
  </si>
  <si>
    <t>сахар-песок</t>
  </si>
  <si>
    <t>картофель</t>
  </si>
  <si>
    <t>морковь</t>
  </si>
  <si>
    <t>лук репчатый</t>
  </si>
  <si>
    <t>масло растительное подсолнечное</t>
  </si>
  <si>
    <t>вода</t>
  </si>
  <si>
    <t>томатная паста</t>
  </si>
  <si>
    <t>масло сливочное"Крестьянское"</t>
  </si>
  <si>
    <t>лавровый лист</t>
  </si>
  <si>
    <t>соль йодированная</t>
  </si>
  <si>
    <t xml:space="preserve">итого </t>
  </si>
  <si>
    <t>1шт.</t>
  </si>
  <si>
    <t>сметана</t>
  </si>
  <si>
    <t>яйцо куриное, гр.</t>
  </si>
  <si>
    <t>312/2005</t>
  </si>
  <si>
    <t>Пюре картофельное</t>
  </si>
  <si>
    <t>309/2005</t>
  </si>
  <si>
    <t>Макаронные изделия отварные</t>
  </si>
  <si>
    <t>макаронные изделия в/с</t>
  </si>
  <si>
    <t>сухари панировочные</t>
  </si>
  <si>
    <t>331/2005</t>
  </si>
  <si>
    <t>Соус сметанный с томатом</t>
  </si>
  <si>
    <t>382/2005</t>
  </si>
  <si>
    <t>Какао с молоком</t>
  </si>
  <si>
    <t>какао-порошок</t>
  </si>
  <si>
    <t>223/2005</t>
  </si>
  <si>
    <t>Запеканка из творога со сгущенным молоком</t>
  </si>
  <si>
    <t>творог н/ж</t>
  </si>
  <si>
    <t>крупа манная</t>
  </si>
  <si>
    <t>молоко сгущенное с сахаром</t>
  </si>
  <si>
    <t>183/2005</t>
  </si>
  <si>
    <t>масло сливочное "Крестьянское"</t>
  </si>
  <si>
    <t xml:space="preserve">гречневая крупа </t>
  </si>
  <si>
    <t>лимон</t>
  </si>
  <si>
    <t>3 /2005</t>
  </si>
  <si>
    <t>399/2014</t>
  </si>
  <si>
    <t>Сок фруктовый</t>
  </si>
  <si>
    <t>цена за 1 кг</t>
  </si>
  <si>
    <t>стоимость</t>
  </si>
  <si>
    <t>Чай с лимоном</t>
  </si>
  <si>
    <t>377/2005</t>
  </si>
  <si>
    <t>Фрукты ( яблоки)</t>
  </si>
  <si>
    <t>Всего за 10 дней</t>
  </si>
  <si>
    <t>Среднее значение за 1 день</t>
  </si>
  <si>
    <t xml:space="preserve">   </t>
  </si>
  <si>
    <t>Сок фруктовый (в ассортименте) в индивидуальной упаковке</t>
  </si>
  <si>
    <t>1 шт./200</t>
  </si>
  <si>
    <t xml:space="preserve">  </t>
  </si>
  <si>
    <t>Прием пищи, наименование блюда</t>
  </si>
  <si>
    <t>Пищевые вещества (г)</t>
  </si>
  <si>
    <t>Белки</t>
  </si>
  <si>
    <t>Жиры</t>
  </si>
  <si>
    <t>Углеводы</t>
  </si>
  <si>
    <t>Энергетическая ценность (ккал)</t>
  </si>
  <si>
    <t>Минеральные вещества(мг)</t>
  </si>
  <si>
    <t>Витамины(мг)</t>
  </si>
  <si>
    <t>1 ДЕНЬ (понедельник)</t>
  </si>
  <si>
    <t>Стоимость блюда (руб.)</t>
  </si>
  <si>
    <t>Масса порции (г)</t>
  </si>
  <si>
    <t>2 ДЕНЬ (вторник)</t>
  </si>
  <si>
    <t>№ рецептуры</t>
  </si>
  <si>
    <t xml:space="preserve">ЗАВТРАК </t>
  </si>
  <si>
    <t>3 ДЕНЬ (среда)</t>
  </si>
  <si>
    <t>4 ДЕНЬ (четверг)</t>
  </si>
  <si>
    <t>5 ДЕНЬ (пятница)</t>
  </si>
  <si>
    <t>6 ДЕНЬ (понедельник)</t>
  </si>
  <si>
    <t>7 ДЕНЬ (вторник)</t>
  </si>
  <si>
    <t>8 ДЕНЬ (среда)</t>
  </si>
  <si>
    <t>9 ДЕНЬ (четверг)</t>
  </si>
  <si>
    <t>10 ДЕНЬ (пятница)</t>
  </si>
  <si>
    <t>Первая неделя</t>
  </si>
  <si>
    <t>Вторая неделя</t>
  </si>
  <si>
    <t>Масса порции</t>
  </si>
  <si>
    <t>Брутто</t>
  </si>
  <si>
    <t>Нетто</t>
  </si>
  <si>
    <t>229/2005</t>
  </si>
  <si>
    <t>50/2009</t>
  </si>
  <si>
    <t>икра кабачковая</t>
  </si>
  <si>
    <t>868/2009</t>
  </si>
  <si>
    <t>Компот из смеси сухофруктов</t>
  </si>
  <si>
    <t>сухофрукты(смесь)</t>
  </si>
  <si>
    <t>кислота лимонная</t>
  </si>
  <si>
    <t xml:space="preserve"> </t>
  </si>
  <si>
    <t xml:space="preserve">г/п </t>
  </si>
  <si>
    <t>Хлеб ржаной</t>
  </si>
  <si>
    <t>1 шт.</t>
  </si>
  <si>
    <t>Йогурт в индивидуальной упаковке</t>
  </si>
  <si>
    <t>Примечание:</t>
  </si>
  <si>
    <t>Фрукты (апельсины)</t>
  </si>
  <si>
    <t>71/2005</t>
  </si>
  <si>
    <t>Овощи натуральные свежие (огурцы)</t>
  </si>
  <si>
    <t>3/2005</t>
  </si>
  <si>
    <t>Бутерброд  с маслом сливочным и сыром</t>
  </si>
  <si>
    <t>сыр" Российский"</t>
  </si>
  <si>
    <t xml:space="preserve">хлеб пшеничный </t>
  </si>
  <si>
    <t>чай заварка№ 375</t>
  </si>
  <si>
    <t>чай в/с или 1 сорт</t>
  </si>
  <si>
    <t>289/2005</t>
  </si>
  <si>
    <t>Рагу из птицы</t>
  </si>
  <si>
    <t>бройлер-цыпленок</t>
  </si>
  <si>
    <t>мука пшеничная</t>
  </si>
  <si>
    <t>филе минтай</t>
  </si>
  <si>
    <t>Рыба ,тушеная в томате с овощами</t>
  </si>
  <si>
    <t>сахар -песок</t>
  </si>
  <si>
    <t>207/2005</t>
  </si>
  <si>
    <t>макароны</t>
  </si>
  <si>
    <t>яйцо куриное столовое</t>
  </si>
  <si>
    <t>масло растительное</t>
  </si>
  <si>
    <t>Макаронник с маслом сливочным</t>
  </si>
  <si>
    <t>379/2005</t>
  </si>
  <si>
    <t>Кофейный напиток с молоком</t>
  </si>
  <si>
    <t xml:space="preserve">Кофейный напиток </t>
  </si>
  <si>
    <t>210/2005</t>
  </si>
  <si>
    <t>Омлет натуральный</t>
  </si>
  <si>
    <t>яйцо куриное ,гр</t>
  </si>
  <si>
    <t>Консервы овощные закусочные(порции)</t>
  </si>
  <si>
    <t>182/2005</t>
  </si>
  <si>
    <t>крупа рисовая</t>
  </si>
  <si>
    <t>302/2005</t>
  </si>
  <si>
    <t>Каша рассыпчатая гречневая</t>
  </si>
  <si>
    <t xml:space="preserve">крупа гречневая </t>
  </si>
  <si>
    <t>290/2005</t>
  </si>
  <si>
    <t>Птица, тушенная в соусе</t>
  </si>
  <si>
    <t>279/2005</t>
  </si>
  <si>
    <t>Тефтели  с соусом сметанным с луком</t>
  </si>
  <si>
    <t>говядина(котлетное мясо)б/к</t>
  </si>
  <si>
    <t xml:space="preserve">вода </t>
  </si>
  <si>
    <t>332/2005</t>
  </si>
  <si>
    <t>соус сметанный с луком</t>
  </si>
  <si>
    <t xml:space="preserve">соус сметанный  </t>
  </si>
  <si>
    <t>Запеканка из творога с морковью со сгущенным молоком</t>
  </si>
  <si>
    <t>в зависимости от сезона, фрукты апельсины, могут быть заменены на мандарины в количестве соответствующем не менее 180 граммам.</t>
  </si>
  <si>
    <t>Бутерброд с маслом сливочным мдж 72,5% и сыром Российским</t>
  </si>
  <si>
    <t>Чай с сахаром и лимоном</t>
  </si>
  <si>
    <t>200/15/7</t>
  </si>
  <si>
    <t xml:space="preserve">Хлеб пшеничный </t>
  </si>
  <si>
    <t>30/5/15</t>
  </si>
  <si>
    <t>Фрукты свежие ( апельсин) калиброванный</t>
  </si>
  <si>
    <t>1 шт./180</t>
  </si>
  <si>
    <t>Фрукты свежие ( яблоко) калиброванное</t>
  </si>
  <si>
    <t>90/270</t>
  </si>
  <si>
    <t>Рыба (минтай) ,тушеная в томате с овощами</t>
  </si>
  <si>
    <t>90/50</t>
  </si>
  <si>
    <t>Пюре картофельное с маслом сливочным</t>
  </si>
  <si>
    <t>Сок фруктовый в индивидуальной упаковке (яблоко,яблоко-виноград, мультифрукт)</t>
  </si>
  <si>
    <t>Овощи натуральные свежие (огурец)</t>
  </si>
  <si>
    <t>200/8</t>
  </si>
  <si>
    <t>1 шт./125</t>
  </si>
  <si>
    <t>Йогурт фруктовый в индивидуальной упаковке (яблочный, персиковый, абрикосовый, банановый)</t>
  </si>
  <si>
    <t>Омлет натуральный с маслом сливочным</t>
  </si>
  <si>
    <t>116/10</t>
  </si>
  <si>
    <t>Консервы овощные закусочные икра кабачковая (порции)</t>
  </si>
  <si>
    <t>Птица, тушенная в соусе сметанном с томатом</t>
  </si>
  <si>
    <t>Каша рассыпчатая гречневая с маслом сливочным</t>
  </si>
  <si>
    <t>200/80</t>
  </si>
  <si>
    <t>Макаронные изделия отварные с маслом сливочным</t>
  </si>
  <si>
    <t>Каша жидкая молочная из гречневой крупы с маслом сливочным и сахаром</t>
  </si>
  <si>
    <t>200/10/10</t>
  </si>
  <si>
    <t>Каша жидкая молочная из рисовой крупы с маслом сливочным и сахаром</t>
  </si>
  <si>
    <t>Кондитерское изделие в индивидуальной упаковке (зефир)</t>
  </si>
  <si>
    <t>1 шт./50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</si>
</sst>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C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0" fontId="0" fillId="0" borderId="0" xfId="0" applyFont="1"/>
    <xf numFmtId="0" fontId="4" fillId="0" borderId="1" xfId="0" applyFont="1" applyBorder="1"/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4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4" fillId="0" borderId="4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2" fontId="3" fillId="0" borderId="1" xfId="0" applyNumberFormat="1" applyFont="1" applyBorder="1"/>
    <xf numFmtId="1" fontId="3" fillId="0" borderId="1" xfId="0" applyNumberFormat="1" applyFont="1" applyBorder="1"/>
    <xf numFmtId="176" fontId="3" fillId="0" borderId="1" xfId="0" applyNumberFormat="1" applyFont="1" applyBorder="1"/>
    <xf numFmtId="0" fontId="3" fillId="0" borderId="5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/>
    <xf numFmtId="1" fontId="7" fillId="0" borderId="1" xfId="0" applyNumberFormat="1" applyFont="1" applyBorder="1"/>
    <xf numFmtId="0" fontId="7" fillId="0" borderId="4" xfId="0" applyFont="1" applyBorder="1"/>
    <xf numFmtId="2" fontId="12" fillId="0" borderId="1" xfId="0" applyNumberFormat="1" applyFont="1" applyBorder="1"/>
    <xf numFmtId="2" fontId="3" fillId="2" borderId="1" xfId="0" applyNumberFormat="1" applyFont="1" applyFill="1" applyBorder="1"/>
    <xf numFmtId="176" fontId="4" fillId="0" borderId="1" xfId="0" applyNumberFormat="1" applyFont="1" applyBorder="1"/>
    <xf numFmtId="2" fontId="3" fillId="0" borderId="5" xfId="0" applyNumberFormat="1" applyFont="1" applyBorder="1"/>
    <xf numFmtId="2" fontId="3" fillId="0" borderId="6" xfId="0" applyNumberFormat="1" applyFont="1" applyBorder="1"/>
    <xf numFmtId="0" fontId="7" fillId="0" borderId="5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/>
    <xf numFmtId="0" fontId="3" fillId="0" borderId="5" xfId="0" applyFont="1" applyBorder="1" applyAlignment="1">
      <alignment wrapText="1"/>
    </xf>
    <xf numFmtId="0" fontId="3" fillId="0" borderId="0" xfId="0" applyFont="1"/>
    <xf numFmtId="2" fontId="3" fillId="0" borderId="0" xfId="0" applyNumberFormat="1" applyFont="1"/>
    <xf numFmtId="0" fontId="3" fillId="0" borderId="0" xfId="0" applyFont="1" applyBorder="1"/>
    <xf numFmtId="2" fontId="4" fillId="0" borderId="1" xfId="0" applyNumberFormat="1" applyFont="1" applyBorder="1"/>
    <xf numFmtId="2" fontId="4" fillId="0" borderId="4" xfId="0" applyNumberFormat="1" applyFont="1" applyBorder="1"/>
    <xf numFmtId="2" fontId="3" fillId="0" borderId="4" xfId="0" applyNumberFormat="1" applyFont="1" applyBorder="1"/>
    <xf numFmtId="0" fontId="8" fillId="0" borderId="2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textRotation="90" wrapText="1"/>
    </xf>
    <xf numFmtId="2" fontId="3" fillId="0" borderId="1" xfId="0" applyNumberFormat="1" applyFont="1" applyFill="1" applyBorder="1"/>
    <xf numFmtId="2" fontId="13" fillId="0" borderId="1" xfId="0" applyNumberFormat="1" applyFont="1" applyBorder="1"/>
    <xf numFmtId="176" fontId="4" fillId="0" borderId="4" xfId="0" applyNumberFormat="1" applyFont="1" applyBorder="1"/>
    <xf numFmtId="2" fontId="13" fillId="0" borderId="1" xfId="0" applyNumberFormat="1" applyFont="1" applyFill="1" applyBorder="1"/>
    <xf numFmtId="0" fontId="11" fillId="0" borderId="0" xfId="0" applyFont="1"/>
    <xf numFmtId="2" fontId="4" fillId="3" borderId="1" xfId="0" applyNumberFormat="1" applyFont="1" applyFill="1" applyBorder="1"/>
    <xf numFmtId="0" fontId="0" fillId="0" borderId="0" xfId="0" applyBorder="1"/>
    <xf numFmtId="2" fontId="12" fillId="0" borderId="0" xfId="0" applyNumberFormat="1" applyFont="1" applyBorder="1"/>
    <xf numFmtId="0" fontId="3" fillId="0" borderId="2" xfId="0" applyFont="1" applyFill="1" applyBorder="1"/>
    <xf numFmtId="0" fontId="3" fillId="0" borderId="1" xfId="0" applyFont="1" applyFill="1" applyBorder="1"/>
    <xf numFmtId="176" fontId="4" fillId="0" borderId="1" xfId="0" applyNumberFormat="1" applyFont="1" applyFill="1" applyBorder="1"/>
    <xf numFmtId="0" fontId="7" fillId="0" borderId="1" xfId="0" applyFont="1" applyFill="1" applyBorder="1"/>
    <xf numFmtId="0" fontId="4" fillId="0" borderId="1" xfId="0" applyFont="1" applyFill="1" applyBorder="1"/>
    <xf numFmtId="2" fontId="4" fillId="0" borderId="1" xfId="0" applyNumberFormat="1" applyFont="1" applyFill="1" applyBorder="1"/>
    <xf numFmtId="2" fontId="3" fillId="0" borderId="5" xfId="0" applyNumberFormat="1" applyFont="1" applyFill="1" applyBorder="1"/>
    <xf numFmtId="0" fontId="3" fillId="0" borderId="0" xfId="0" applyFont="1" applyFill="1"/>
    <xf numFmtId="0" fontId="4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/>
    </xf>
    <xf numFmtId="0" fontId="3" fillId="4" borderId="1" xfId="0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wrapText="1"/>
    </xf>
    <xf numFmtId="0" fontId="3" fillId="0" borderId="6" xfId="0" applyFont="1" applyBorder="1"/>
    <xf numFmtId="49" fontId="4" fillId="0" borderId="1" xfId="0" applyNumberFormat="1" applyFont="1" applyBorder="1"/>
    <xf numFmtId="0" fontId="3" fillId="2" borderId="1" xfId="0" applyFont="1" applyFill="1" applyBorder="1" applyAlignment="1">
      <alignment wrapText="1"/>
    </xf>
    <xf numFmtId="0" fontId="11" fillId="0" borderId="5" xfId="0" applyFont="1" applyBorder="1" applyAlignment="1">
      <alignment wrapText="1"/>
    </xf>
    <xf numFmtId="0" fontId="0" fillId="0" borderId="1" xfId="0" applyFill="1" applyBorder="1"/>
    <xf numFmtId="0" fontId="0" fillId="0" borderId="1" xfId="0" applyBorder="1"/>
    <xf numFmtId="0" fontId="1" fillId="0" borderId="5" xfId="0" applyFont="1" applyBorder="1"/>
    <xf numFmtId="2" fontId="0" fillId="0" borderId="1" xfId="0" applyNumberFormat="1" applyBorder="1"/>
    <xf numFmtId="2" fontId="0" fillId="2" borderId="1" xfId="0" applyNumberFormat="1" applyFill="1" applyBorder="1"/>
    <xf numFmtId="0" fontId="4" fillId="2" borderId="1" xfId="0" applyFont="1" applyFill="1" applyBorder="1"/>
    <xf numFmtId="0" fontId="3" fillId="2" borderId="1" xfId="0" applyFont="1" applyFill="1" applyBorder="1"/>
    <xf numFmtId="0" fontId="11" fillId="0" borderId="5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11" fillId="0" borderId="1" xfId="0" applyFont="1" applyBorder="1"/>
    <xf numFmtId="0" fontId="11" fillId="0" borderId="4" xfId="0" applyFont="1" applyBorder="1"/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4" xfId="0" applyBorder="1"/>
    <xf numFmtId="0" fontId="1" fillId="0" borderId="1" xfId="0" applyFont="1" applyBorder="1"/>
    <xf numFmtId="176" fontId="1" fillId="0" borderId="1" xfId="0" applyNumberFormat="1" applyFont="1" applyBorder="1"/>
    <xf numFmtId="0" fontId="1" fillId="0" borderId="4" xfId="0" applyFont="1" applyBorder="1"/>
    <xf numFmtId="0" fontId="0" fillId="0" borderId="1" xfId="0" applyFont="1" applyBorder="1"/>
    <xf numFmtId="0" fontId="10" fillId="0" borderId="5" xfId="0" applyFont="1" applyBorder="1" applyAlignment="1">
      <alignment wrapText="1"/>
    </xf>
    <xf numFmtId="0" fontId="10" fillId="0" borderId="1" xfId="0" applyFont="1" applyBorder="1" applyAlignment="1">
      <alignment horizontal="right" wrapText="1"/>
    </xf>
    <xf numFmtId="0" fontId="11" fillId="0" borderId="1" xfId="0" applyFont="1" applyBorder="1" applyAlignment="1"/>
    <xf numFmtId="0" fontId="11" fillId="0" borderId="5" xfId="0" applyFont="1" applyBorder="1" applyAlignment="1">
      <alignment horizontal="left" wrapText="1"/>
    </xf>
    <xf numFmtId="0" fontId="11" fillId="0" borderId="1" xfId="0" applyFont="1" applyBorder="1" applyAlignment="1">
      <alignment horizontal="right" wrapText="1"/>
    </xf>
    <xf numFmtId="0" fontId="0" fillId="0" borderId="1" xfId="0" applyBorder="1" applyAlignment="1">
      <alignment horizontal="left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1" fontId="1" fillId="0" borderId="1" xfId="0" applyNumberFormat="1" applyFont="1" applyBorder="1"/>
    <xf numFmtId="0" fontId="0" fillId="0" borderId="5" xfId="0" applyBorder="1"/>
    <xf numFmtId="0" fontId="0" fillId="0" borderId="5" xfId="0" applyFont="1" applyBorder="1"/>
    <xf numFmtId="0" fontId="0" fillId="0" borderId="6" xfId="0" applyFont="1" applyBorder="1"/>
    <xf numFmtId="0" fontId="0" fillId="0" borderId="5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4" xfId="0" applyFont="1" applyBorder="1"/>
    <xf numFmtId="0" fontId="11" fillId="0" borderId="5" xfId="0" applyFont="1" applyBorder="1"/>
    <xf numFmtId="0" fontId="1" fillId="0" borderId="1" xfId="0" applyFont="1" applyBorder="1" applyAlignment="1">
      <alignment wrapText="1"/>
    </xf>
    <xf numFmtId="0" fontId="1" fillId="0" borderId="6" xfId="0" applyFont="1" applyBorder="1"/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right" wrapText="1"/>
    </xf>
    <xf numFmtId="0" fontId="0" fillId="0" borderId="7" xfId="0" applyBorder="1" applyAlignment="1">
      <alignment wrapText="1"/>
    </xf>
    <xf numFmtId="0" fontId="1" fillId="0" borderId="5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0" fillId="0" borderId="7" xfId="0" applyFont="1" applyBorder="1"/>
    <xf numFmtId="176" fontId="10" fillId="0" borderId="7" xfId="0" applyNumberFormat="1" applyFont="1" applyBorder="1"/>
    <xf numFmtId="0" fontId="10" fillId="0" borderId="8" xfId="0" applyFont="1" applyBorder="1"/>
    <xf numFmtId="0" fontId="0" fillId="0" borderId="1" xfId="0" applyBorder="1" applyAlignment="1"/>
    <xf numFmtId="2" fontId="0" fillId="0" borderId="1" xfId="0" applyNumberFormat="1" applyFill="1" applyBorder="1"/>
    <xf numFmtId="2" fontId="12" fillId="0" borderId="1" xfId="0" applyNumberFormat="1" applyFont="1" applyFill="1" applyBorder="1"/>
    <xf numFmtId="2" fontId="14" fillId="0" borderId="1" xfId="0" applyNumberFormat="1" applyFont="1" applyFill="1" applyBorder="1"/>
    <xf numFmtId="0" fontId="1" fillId="0" borderId="7" xfId="0" applyFont="1" applyBorder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/>
    <xf numFmtId="0" fontId="0" fillId="0" borderId="4" xfId="0" applyFont="1" applyBorder="1"/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4" xfId="0" applyFont="1" applyBorder="1" applyAlignment="1"/>
    <xf numFmtId="0" fontId="3" fillId="0" borderId="7" xfId="0" applyFont="1" applyBorder="1" applyAlignment="1">
      <alignment horizontal="right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2" fontId="3" fillId="3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76" fontId="15" fillId="0" borderId="1" xfId="0" applyNumberFormat="1" applyFont="1" applyBorder="1"/>
    <xf numFmtId="0" fontId="3" fillId="0" borderId="5" xfId="0" applyFont="1" applyBorder="1" applyAlignment="1">
      <alignment horizontal="right" wrapText="1"/>
    </xf>
    <xf numFmtId="176" fontId="13" fillId="0" borderId="1" xfId="0" applyNumberFormat="1" applyFont="1" applyBorder="1"/>
    <xf numFmtId="1" fontId="0" fillId="0" borderId="0" xfId="0" applyNumberFormat="1"/>
    <xf numFmtId="0" fontId="4" fillId="0" borderId="1" xfId="0" applyFont="1" applyBorder="1" applyAlignment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textRotation="90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8A88C-DF2A-4173-B10D-0BBB199E398D}">
  <sheetPr>
    <pageSetUpPr fitToPage="1"/>
  </sheetPr>
  <dimension ref="A1:W288"/>
  <sheetViews>
    <sheetView tabSelected="1" zoomScale="91" zoomScaleNormal="91" workbookViewId="0">
      <pane xSplit="1" ySplit="4" topLeftCell="B221" activePane="bottomRight" state="frozen"/>
      <selection pane="topRight" activeCell="B1" sqref="B1"/>
      <selection pane="bottomLeft" activeCell="A5" sqref="A5"/>
      <selection pane="bottomRight" activeCell="Y283" sqref="Y283"/>
    </sheetView>
  </sheetViews>
  <sheetFormatPr defaultRowHeight="12.75" x14ac:dyDescent="0.2"/>
  <cols>
    <col min="1" max="1" width="12.85546875" style="11" customWidth="1"/>
    <col min="2" max="2" width="33.28515625" style="44" customWidth="1"/>
    <col min="3" max="3" width="8.42578125" style="44" customWidth="1"/>
    <col min="4" max="4" width="6.7109375" style="44" customWidth="1"/>
    <col min="5" max="5" width="6.85546875" style="44" customWidth="1"/>
    <col min="6" max="6" width="7.140625" style="44" customWidth="1"/>
    <col min="7" max="7" width="6.85546875" style="44" customWidth="1"/>
    <col min="8" max="8" width="7" style="44" customWidth="1"/>
    <col min="9" max="9" width="7.7109375" style="44" customWidth="1"/>
    <col min="10" max="10" width="7.85546875" style="44" customWidth="1"/>
    <col min="11" max="11" width="7.42578125" style="44" customWidth="1"/>
    <col min="12" max="12" width="6.85546875" style="44" customWidth="1"/>
    <col min="13" max="13" width="7.28515625" style="44" customWidth="1"/>
    <col min="14" max="14" width="5.7109375" style="44" customWidth="1"/>
    <col min="15" max="15" width="6.85546875" style="67" customWidth="1"/>
    <col min="16" max="18" width="6.28515625" style="44" customWidth="1"/>
    <col min="19" max="19" width="6.28515625" style="46" customWidth="1"/>
    <col min="20" max="20" width="7.28515625" style="44" customWidth="1"/>
    <col min="21" max="21" width="7.140625" style="44" customWidth="1"/>
  </cols>
  <sheetData>
    <row r="1" spans="1:21" ht="38.25" customHeight="1" x14ac:dyDescent="0.2">
      <c r="A1" s="179" t="s">
        <v>75</v>
      </c>
      <c r="B1" s="182" t="s">
        <v>63</v>
      </c>
      <c r="C1" s="171" t="s">
        <v>87</v>
      </c>
      <c r="D1" s="170" t="s">
        <v>88</v>
      </c>
      <c r="E1" s="170" t="s">
        <v>89</v>
      </c>
      <c r="F1" s="177" t="s">
        <v>64</v>
      </c>
      <c r="G1" s="188"/>
      <c r="H1" s="178"/>
      <c r="I1" s="172" t="s">
        <v>68</v>
      </c>
      <c r="J1" s="161" t="s">
        <v>69</v>
      </c>
      <c r="K1" s="162"/>
      <c r="L1" s="162"/>
      <c r="M1" s="162"/>
      <c r="N1" s="163"/>
      <c r="O1" s="161" t="s">
        <v>70</v>
      </c>
      <c r="P1" s="162"/>
      <c r="Q1" s="162"/>
      <c r="R1" s="162"/>
      <c r="S1" s="163"/>
      <c r="T1" s="191" t="s">
        <v>52</v>
      </c>
      <c r="U1" s="189" t="s">
        <v>53</v>
      </c>
    </row>
    <row r="2" spans="1:21" x14ac:dyDescent="0.2">
      <c r="A2" s="180"/>
      <c r="B2" s="183"/>
      <c r="C2" s="171"/>
      <c r="D2" s="170"/>
      <c r="E2" s="170"/>
      <c r="F2" s="170" t="s">
        <v>65</v>
      </c>
      <c r="G2" s="170" t="s">
        <v>66</v>
      </c>
      <c r="H2" s="171" t="s">
        <v>67</v>
      </c>
      <c r="I2" s="173"/>
      <c r="J2" s="164"/>
      <c r="K2" s="165"/>
      <c r="L2" s="165"/>
      <c r="M2" s="165"/>
      <c r="N2" s="166"/>
      <c r="O2" s="164"/>
      <c r="P2" s="165"/>
      <c r="Q2" s="165"/>
      <c r="R2" s="165"/>
      <c r="S2" s="166"/>
      <c r="T2" s="192"/>
      <c r="U2" s="190"/>
    </row>
    <row r="3" spans="1:21" x14ac:dyDescent="0.2">
      <c r="A3" s="181"/>
      <c r="B3" s="184"/>
      <c r="C3" s="171"/>
      <c r="D3" s="170"/>
      <c r="E3" s="170"/>
      <c r="F3" s="170"/>
      <c r="G3" s="170"/>
      <c r="H3" s="171"/>
      <c r="I3" s="174"/>
      <c r="J3" s="12" t="s">
        <v>13</v>
      </c>
      <c r="K3" s="12" t="s">
        <v>2</v>
      </c>
      <c r="L3" s="12" t="s">
        <v>3</v>
      </c>
      <c r="M3" s="12" t="s">
        <v>4</v>
      </c>
      <c r="N3" s="12" t="s">
        <v>5</v>
      </c>
      <c r="O3" s="68" t="s">
        <v>6</v>
      </c>
      <c r="P3" s="12" t="s">
        <v>7</v>
      </c>
      <c r="Q3" s="12" t="s">
        <v>8</v>
      </c>
      <c r="R3" s="12" t="s">
        <v>9</v>
      </c>
      <c r="S3" s="12" t="s">
        <v>10</v>
      </c>
      <c r="T3" s="51"/>
      <c r="U3" s="50"/>
    </row>
    <row r="4" spans="1:21" ht="15.75" x14ac:dyDescent="0.2">
      <c r="A4" s="167" t="s">
        <v>85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9"/>
    </row>
    <row r="5" spans="1:21" x14ac:dyDescent="0.2">
      <c r="A5" s="5"/>
      <c r="B5" s="13" t="s">
        <v>71</v>
      </c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60"/>
      <c r="P5" s="14"/>
      <c r="Q5" s="14"/>
      <c r="R5" s="15"/>
      <c r="S5" s="16"/>
      <c r="T5" s="16"/>
      <c r="U5" s="16"/>
    </row>
    <row r="6" spans="1:21" x14ac:dyDescent="0.2">
      <c r="A6" s="6"/>
      <c r="B6" s="17" t="s">
        <v>0</v>
      </c>
      <c r="C6" s="1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61"/>
      <c r="P6" s="16"/>
      <c r="Q6" s="16"/>
      <c r="R6" s="18"/>
      <c r="S6" s="16"/>
      <c r="T6" s="16"/>
      <c r="U6" s="16"/>
    </row>
    <row r="7" spans="1:21" ht="25.5" x14ac:dyDescent="0.2">
      <c r="A7" s="4" t="s">
        <v>45</v>
      </c>
      <c r="B7" s="72" t="s">
        <v>171</v>
      </c>
      <c r="C7" s="20">
        <v>220</v>
      </c>
      <c r="D7" s="16"/>
      <c r="E7" s="4"/>
      <c r="F7" s="4">
        <f>F8+F9+F10+F11+F12+F13</f>
        <v>9.0400000000000009</v>
      </c>
      <c r="G7" s="4">
        <f t="shared" ref="G7:S7" si="0">G8+G9+G10+G11+G12+G13</f>
        <v>13.05</v>
      </c>
      <c r="H7" s="4">
        <f t="shared" si="0"/>
        <v>47.518000000000008</v>
      </c>
      <c r="I7" s="4">
        <f t="shared" si="0"/>
        <v>341.93999999999994</v>
      </c>
      <c r="J7" s="4">
        <f t="shared" si="0"/>
        <v>273.98</v>
      </c>
      <c r="K7" s="4">
        <f t="shared" si="0"/>
        <v>198.51999999999998</v>
      </c>
      <c r="L7" s="4">
        <f t="shared" si="0"/>
        <v>59.1</v>
      </c>
      <c r="M7" s="4">
        <f t="shared" si="0"/>
        <v>247.1</v>
      </c>
      <c r="N7" s="4">
        <f t="shared" si="0"/>
        <v>3.22</v>
      </c>
      <c r="O7" s="4">
        <f t="shared" si="0"/>
        <v>0.05</v>
      </c>
      <c r="P7" s="4">
        <f t="shared" si="0"/>
        <v>0</v>
      </c>
      <c r="Q7" s="4">
        <f t="shared" si="0"/>
        <v>0</v>
      </c>
      <c r="R7" s="21">
        <f t="shared" si="0"/>
        <v>1.6760000000000002</v>
      </c>
      <c r="S7" s="4">
        <f t="shared" si="0"/>
        <v>1.82</v>
      </c>
      <c r="T7" s="16"/>
      <c r="U7" s="16"/>
    </row>
    <row r="8" spans="1:21" x14ac:dyDescent="0.2">
      <c r="A8" s="4"/>
      <c r="B8" s="43" t="s">
        <v>47</v>
      </c>
      <c r="C8" s="23"/>
      <c r="D8" s="16">
        <v>40</v>
      </c>
      <c r="E8" s="16">
        <v>40</v>
      </c>
      <c r="F8" s="16">
        <f>12.6*E8/100</f>
        <v>5.04</v>
      </c>
      <c r="G8" s="16">
        <f>3.3*E8/100</f>
        <v>1.32</v>
      </c>
      <c r="H8" s="24">
        <f>62.1*E8/100</f>
        <v>24.84</v>
      </c>
      <c r="I8" s="16">
        <f>335*E8/100</f>
        <v>134</v>
      </c>
      <c r="J8" s="25">
        <f>167*E8/100</f>
        <v>66.8</v>
      </c>
      <c r="K8" s="26">
        <f>70*E8/100</f>
        <v>28</v>
      </c>
      <c r="L8" s="16">
        <f>98*E8/100</f>
        <v>39.200000000000003</v>
      </c>
      <c r="M8" s="16">
        <f>298*E8/100</f>
        <v>119.2</v>
      </c>
      <c r="N8" s="16">
        <f>8*E8/100</f>
        <v>3.2</v>
      </c>
      <c r="O8" s="16">
        <v>0</v>
      </c>
      <c r="P8" s="16">
        <v>0</v>
      </c>
      <c r="Q8" s="16">
        <v>0</v>
      </c>
      <c r="R8" s="18">
        <f>4.19*E8/100</f>
        <v>1.6760000000000002</v>
      </c>
      <c r="S8" s="16">
        <v>0</v>
      </c>
      <c r="T8" s="16">
        <v>72.17</v>
      </c>
      <c r="U8" s="24">
        <f t="shared" ref="U8:U13" si="1">D8*T8/1000</f>
        <v>2.8868</v>
      </c>
    </row>
    <row r="9" spans="1:21" x14ac:dyDescent="0.2">
      <c r="A9" s="4"/>
      <c r="B9" s="43" t="s">
        <v>14</v>
      </c>
      <c r="C9" s="23"/>
      <c r="D9" s="16">
        <v>140</v>
      </c>
      <c r="E9" s="16">
        <v>140</v>
      </c>
      <c r="F9" s="16">
        <f>2.8*E9/100</f>
        <v>3.92</v>
      </c>
      <c r="G9" s="16">
        <f>3.2*E9/100</f>
        <v>4.4800000000000004</v>
      </c>
      <c r="H9" s="16">
        <f>4.7*E9/100</f>
        <v>6.58</v>
      </c>
      <c r="I9" s="16">
        <f>58*E9/100</f>
        <v>81.2</v>
      </c>
      <c r="J9" s="16">
        <f>146*E9/100</f>
        <v>204.4</v>
      </c>
      <c r="K9" s="26">
        <f>120*E9/100</f>
        <v>168</v>
      </c>
      <c r="L9" s="16">
        <f>14*E9/100</f>
        <v>19.600000000000001</v>
      </c>
      <c r="M9" s="26">
        <f>90*E9/100</f>
        <v>126</v>
      </c>
      <c r="N9" s="16">
        <v>0</v>
      </c>
      <c r="O9" s="16">
        <v>0</v>
      </c>
      <c r="P9" s="16">
        <v>0</v>
      </c>
      <c r="Q9" s="16">
        <v>0</v>
      </c>
      <c r="R9" s="18">
        <v>0</v>
      </c>
      <c r="S9" s="16">
        <f>1.3*E9/100</f>
        <v>1.82</v>
      </c>
      <c r="T9" s="16">
        <v>79.64</v>
      </c>
      <c r="U9" s="24">
        <f t="shared" si="1"/>
        <v>11.1496</v>
      </c>
    </row>
    <row r="10" spans="1:21" x14ac:dyDescent="0.2">
      <c r="A10" s="4"/>
      <c r="B10" s="27" t="s">
        <v>20</v>
      </c>
      <c r="C10" s="23"/>
      <c r="D10" s="16">
        <v>30</v>
      </c>
      <c r="E10" s="16">
        <v>30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8">
        <v>0</v>
      </c>
      <c r="S10" s="16">
        <v>0</v>
      </c>
      <c r="T10" s="16">
        <v>0</v>
      </c>
      <c r="U10" s="24">
        <f t="shared" si="1"/>
        <v>0</v>
      </c>
    </row>
    <row r="11" spans="1:21" x14ac:dyDescent="0.2">
      <c r="A11" s="4"/>
      <c r="B11" s="27" t="s">
        <v>15</v>
      </c>
      <c r="C11" s="23"/>
      <c r="D11" s="16">
        <v>16</v>
      </c>
      <c r="E11" s="16">
        <v>16</v>
      </c>
      <c r="F11" s="27">
        <v>0</v>
      </c>
      <c r="G11" s="27">
        <v>0</v>
      </c>
      <c r="H11" s="27">
        <f>99.8*E11/100</f>
        <v>15.968</v>
      </c>
      <c r="I11" s="27">
        <f>379*E11/100</f>
        <v>60.64</v>
      </c>
      <c r="J11" s="27">
        <f>3*E11/100</f>
        <v>0.48</v>
      </c>
      <c r="K11" s="27">
        <f>2*E11/100</f>
        <v>0.32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73">
        <v>0</v>
      </c>
      <c r="S11" s="16">
        <v>0</v>
      </c>
      <c r="T11" s="16">
        <v>75.28</v>
      </c>
      <c r="U11" s="24">
        <f t="shared" si="1"/>
        <v>1.20448</v>
      </c>
    </row>
    <row r="12" spans="1:21" x14ac:dyDescent="0.2">
      <c r="A12" s="4"/>
      <c r="B12" s="27" t="s">
        <v>24</v>
      </c>
      <c r="C12" s="23"/>
      <c r="D12" s="16">
        <v>1.5</v>
      </c>
      <c r="E12" s="16">
        <v>1.5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8">
        <v>0</v>
      </c>
      <c r="S12" s="16">
        <v>0</v>
      </c>
      <c r="T12" s="16">
        <v>20.87</v>
      </c>
      <c r="U12" s="24">
        <f t="shared" si="1"/>
        <v>3.1304999999999999E-2</v>
      </c>
    </row>
    <row r="13" spans="1:21" ht="14.25" customHeight="1" x14ac:dyDescent="0.2">
      <c r="A13" s="4"/>
      <c r="B13" s="43" t="s">
        <v>22</v>
      </c>
      <c r="C13" s="23"/>
      <c r="D13" s="16">
        <v>10</v>
      </c>
      <c r="E13" s="16">
        <v>10</v>
      </c>
      <c r="F13" s="16">
        <f>0.8*D13/100</f>
        <v>0.08</v>
      </c>
      <c r="G13" s="16">
        <f>72.5*D13/100</f>
        <v>7.25</v>
      </c>
      <c r="H13" s="16">
        <f>1.3*D13/100</f>
        <v>0.13</v>
      </c>
      <c r="I13" s="16">
        <f>661*D13/100</f>
        <v>66.099999999999994</v>
      </c>
      <c r="J13" s="26">
        <f>23*D13/100</f>
        <v>2.2999999999999998</v>
      </c>
      <c r="K13" s="16">
        <f>22*D13/100</f>
        <v>2.2000000000000002</v>
      </c>
      <c r="L13" s="26">
        <f>3*D13/100</f>
        <v>0.3</v>
      </c>
      <c r="M13" s="16">
        <f>19*E13/100</f>
        <v>1.9</v>
      </c>
      <c r="N13" s="16">
        <f>0.2*E13/100</f>
        <v>0.02</v>
      </c>
      <c r="O13" s="16">
        <f>0.5*E13/100</f>
        <v>0.05</v>
      </c>
      <c r="P13" s="16">
        <v>0</v>
      </c>
      <c r="Q13" s="16">
        <v>0</v>
      </c>
      <c r="R13" s="18">
        <v>0</v>
      </c>
      <c r="S13" s="16">
        <v>0</v>
      </c>
      <c r="T13" s="16">
        <v>800</v>
      </c>
      <c r="U13" s="24">
        <f t="shared" si="1"/>
        <v>8</v>
      </c>
    </row>
    <row r="14" spans="1:21" x14ac:dyDescent="0.2">
      <c r="A14" s="71"/>
      <c r="B14" s="28" t="s">
        <v>25</v>
      </c>
      <c r="C14" s="23"/>
      <c r="D14" s="16"/>
      <c r="E14" s="4"/>
      <c r="F14" s="29"/>
      <c r="G14" s="29"/>
      <c r="H14" s="29"/>
      <c r="I14" s="29"/>
      <c r="J14" s="30"/>
      <c r="K14" s="29"/>
      <c r="L14" s="29"/>
      <c r="M14" s="29"/>
      <c r="N14" s="29"/>
      <c r="O14" s="63"/>
      <c r="P14" s="29"/>
      <c r="Q14" s="29"/>
      <c r="R14" s="31"/>
      <c r="S14" s="29"/>
      <c r="T14" s="16"/>
      <c r="U14" s="32">
        <f>SUM(U8:U13)</f>
        <v>23.272185</v>
      </c>
    </row>
    <row r="15" spans="1:21" ht="25.5" x14ac:dyDescent="0.2">
      <c r="A15" s="74" t="s">
        <v>106</v>
      </c>
      <c r="B15" s="72" t="s">
        <v>107</v>
      </c>
      <c r="C15" s="4">
        <v>50</v>
      </c>
      <c r="D15" s="16"/>
      <c r="E15" s="4"/>
      <c r="F15" s="4">
        <v>5.76</v>
      </c>
      <c r="G15" s="4">
        <v>8.85</v>
      </c>
      <c r="H15" s="4">
        <v>14.9</v>
      </c>
      <c r="I15" s="4">
        <v>165.7</v>
      </c>
      <c r="J15" s="4">
        <f t="shared" ref="J15:S15" si="2">J16+J17+J18</f>
        <v>58.75</v>
      </c>
      <c r="K15" s="4">
        <f t="shared" si="2"/>
        <v>164.9</v>
      </c>
      <c r="L15" s="4">
        <f t="shared" si="2"/>
        <v>10.65</v>
      </c>
      <c r="M15" s="4">
        <f t="shared" si="2"/>
        <v>107.44999999999999</v>
      </c>
      <c r="N15" s="4">
        <f t="shared" si="2"/>
        <v>0.49</v>
      </c>
      <c r="O15" s="4">
        <f t="shared" si="2"/>
        <v>5.6500000000000002E-2</v>
      </c>
      <c r="P15" s="4">
        <f t="shared" si="2"/>
        <v>0</v>
      </c>
      <c r="Q15" s="4">
        <f t="shared" si="2"/>
        <v>5.7000000000000002E-2</v>
      </c>
      <c r="R15" s="21">
        <f t="shared" si="2"/>
        <v>0.52200000000000002</v>
      </c>
      <c r="S15" s="4">
        <f t="shared" si="2"/>
        <v>0.42</v>
      </c>
      <c r="T15" s="16"/>
      <c r="U15" s="16"/>
    </row>
    <row r="16" spans="1:21" x14ac:dyDescent="0.2">
      <c r="A16" s="4"/>
      <c r="B16" s="27" t="s">
        <v>108</v>
      </c>
      <c r="C16" s="16"/>
      <c r="D16" s="16">
        <v>16</v>
      </c>
      <c r="E16" s="16">
        <v>15</v>
      </c>
      <c r="F16" s="16">
        <f>23*E16/100</f>
        <v>3.45</v>
      </c>
      <c r="G16" s="16">
        <f>29*E16/100</f>
        <v>4.3499999999999996</v>
      </c>
      <c r="H16" s="16">
        <v>0</v>
      </c>
      <c r="I16" s="16">
        <f>360*E16/100</f>
        <v>54</v>
      </c>
      <c r="J16" s="25">
        <f>130*E16/100</f>
        <v>19.5</v>
      </c>
      <c r="K16" s="16">
        <f>1040*E16/100</f>
        <v>156</v>
      </c>
      <c r="L16" s="16">
        <v>0</v>
      </c>
      <c r="M16" s="16">
        <f>544*E16/100</f>
        <v>81.599999999999994</v>
      </c>
      <c r="N16" s="16">
        <v>0</v>
      </c>
      <c r="O16" s="16">
        <f>0.21*E16/100</f>
        <v>3.15E-2</v>
      </c>
      <c r="P16" s="16">
        <v>0</v>
      </c>
      <c r="Q16" s="16">
        <f>0.38*E16/100</f>
        <v>5.7000000000000002E-2</v>
      </c>
      <c r="R16" s="18">
        <f>0.4*E16/100</f>
        <v>0.06</v>
      </c>
      <c r="S16" s="16">
        <f>2.8*E16/100</f>
        <v>0.42</v>
      </c>
      <c r="T16" s="16">
        <v>740</v>
      </c>
      <c r="U16" s="24">
        <f>D16*T16/1000</f>
        <v>11.84</v>
      </c>
    </row>
    <row r="17" spans="1:21" x14ac:dyDescent="0.2">
      <c r="A17" s="4"/>
      <c r="B17" s="43" t="s">
        <v>22</v>
      </c>
      <c r="C17" s="22"/>
      <c r="D17" s="16">
        <v>5</v>
      </c>
      <c r="E17" s="16">
        <v>5</v>
      </c>
      <c r="F17" s="16">
        <f>0.8*D17/100</f>
        <v>0.04</v>
      </c>
      <c r="G17" s="16">
        <f>72.5*D17/100</f>
        <v>3.625</v>
      </c>
      <c r="H17" s="16">
        <f>1.3*D17/100</f>
        <v>6.5000000000000002E-2</v>
      </c>
      <c r="I17" s="16">
        <f>661*D17/100</f>
        <v>33.049999999999997</v>
      </c>
      <c r="J17" s="26">
        <f>23*D17/100</f>
        <v>1.1499999999999999</v>
      </c>
      <c r="K17" s="16">
        <f>22*D17/100</f>
        <v>1.1000000000000001</v>
      </c>
      <c r="L17" s="26">
        <f>3*D17/100</f>
        <v>0.15</v>
      </c>
      <c r="M17" s="16">
        <f>19*E17/100</f>
        <v>0.95</v>
      </c>
      <c r="N17" s="16">
        <f>0.2*E17/100</f>
        <v>0.01</v>
      </c>
      <c r="O17" s="16">
        <f>0.5*E17/100</f>
        <v>2.5000000000000001E-2</v>
      </c>
      <c r="P17" s="16">
        <v>0</v>
      </c>
      <c r="Q17" s="16">
        <v>0</v>
      </c>
      <c r="R17" s="18">
        <v>0</v>
      </c>
      <c r="S17" s="16">
        <v>0</v>
      </c>
      <c r="T17" s="16">
        <v>800</v>
      </c>
      <c r="U17" s="24">
        <f>D17*T17/1000</f>
        <v>4</v>
      </c>
    </row>
    <row r="18" spans="1:21" x14ac:dyDescent="0.2">
      <c r="A18" s="4"/>
      <c r="B18" s="27" t="s">
        <v>109</v>
      </c>
      <c r="C18" s="16"/>
      <c r="D18" s="16">
        <v>30</v>
      </c>
      <c r="E18" s="16">
        <v>30</v>
      </c>
      <c r="F18" s="16">
        <f>7.7*E18/100</f>
        <v>2.31</v>
      </c>
      <c r="G18" s="16">
        <f>3*E18/100</f>
        <v>0.9</v>
      </c>
      <c r="H18" s="16">
        <f>49.8*E18/100</f>
        <v>14.94</v>
      </c>
      <c r="I18" s="16">
        <f>262*E18/100</f>
        <v>78.599999999999994</v>
      </c>
      <c r="J18" s="16">
        <f>127*E18/100</f>
        <v>38.1</v>
      </c>
      <c r="K18" s="16">
        <f>26*E18/100</f>
        <v>7.8</v>
      </c>
      <c r="L18" s="16">
        <f>35*E18/100</f>
        <v>10.5</v>
      </c>
      <c r="M18" s="16">
        <f>83*E18/100</f>
        <v>24.9</v>
      </c>
      <c r="N18" s="16">
        <f>1.6*E18/100</f>
        <v>0.48</v>
      </c>
      <c r="O18" s="16">
        <v>0</v>
      </c>
      <c r="P18" s="16">
        <v>0</v>
      </c>
      <c r="Q18" s="16">
        <v>0</v>
      </c>
      <c r="R18" s="18">
        <f>1.54*E18/100</f>
        <v>0.46200000000000002</v>
      </c>
      <c r="S18" s="16">
        <v>0</v>
      </c>
      <c r="T18" s="16">
        <v>50</v>
      </c>
      <c r="U18" s="24">
        <f>D18*T18/1000</f>
        <v>1.5</v>
      </c>
    </row>
    <row r="19" spans="1:21" x14ac:dyDescent="0.2">
      <c r="A19" s="71"/>
      <c r="B19" s="28" t="s">
        <v>25</v>
      </c>
      <c r="C19" s="2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61"/>
      <c r="P19" s="16"/>
      <c r="Q19" s="16"/>
      <c r="R19" s="18"/>
      <c r="S19" s="16"/>
      <c r="T19" s="16"/>
      <c r="U19" s="32">
        <f>SUM(U16:U18)</f>
        <v>17.34</v>
      </c>
    </row>
    <row r="20" spans="1:21" x14ac:dyDescent="0.2">
      <c r="A20" s="4" t="s">
        <v>55</v>
      </c>
      <c r="B20" s="72" t="s">
        <v>54</v>
      </c>
      <c r="C20" s="19">
        <v>207</v>
      </c>
      <c r="D20" s="16"/>
      <c r="E20" s="4"/>
      <c r="F20" s="4">
        <v>0.1</v>
      </c>
      <c r="G20" s="4">
        <v>0</v>
      </c>
      <c r="H20" s="4">
        <v>15.2</v>
      </c>
      <c r="I20" s="4">
        <v>60</v>
      </c>
      <c r="J20" s="4">
        <v>24.3</v>
      </c>
      <c r="K20" s="4">
        <v>5.7</v>
      </c>
      <c r="L20" s="4">
        <v>3</v>
      </c>
      <c r="M20" s="4">
        <v>5.6</v>
      </c>
      <c r="N20" s="4">
        <v>0.4</v>
      </c>
      <c r="O20" s="4">
        <v>0</v>
      </c>
      <c r="P20" s="4">
        <v>0</v>
      </c>
      <c r="Q20" s="4">
        <v>0</v>
      </c>
      <c r="R20" s="21">
        <v>0</v>
      </c>
      <c r="S20" s="4">
        <v>2.8</v>
      </c>
      <c r="T20" s="61"/>
      <c r="U20" s="16"/>
    </row>
    <row r="21" spans="1:21" x14ac:dyDescent="0.2">
      <c r="A21" s="4"/>
      <c r="B21" s="43" t="s">
        <v>110</v>
      </c>
      <c r="C21" s="22"/>
      <c r="D21" s="16">
        <v>50</v>
      </c>
      <c r="E21" s="16">
        <v>50</v>
      </c>
      <c r="F21" s="16">
        <v>0.1</v>
      </c>
      <c r="G21" s="16">
        <v>0</v>
      </c>
      <c r="H21" s="16">
        <v>0</v>
      </c>
      <c r="I21" s="16">
        <v>0.8</v>
      </c>
      <c r="J21" s="16">
        <v>12.4</v>
      </c>
      <c r="K21" s="16">
        <v>2.5</v>
      </c>
      <c r="L21" s="16">
        <v>2.2000000000000002</v>
      </c>
      <c r="M21" s="16">
        <v>4.0999999999999996</v>
      </c>
      <c r="N21" s="16">
        <v>0.4</v>
      </c>
      <c r="O21" s="16">
        <v>0</v>
      </c>
      <c r="P21" s="16">
        <v>0</v>
      </c>
      <c r="Q21" s="16">
        <v>0</v>
      </c>
      <c r="R21" s="18">
        <v>0</v>
      </c>
      <c r="S21" s="16">
        <v>0</v>
      </c>
      <c r="T21" s="61"/>
      <c r="U21" s="16"/>
    </row>
    <row r="22" spans="1:21" x14ac:dyDescent="0.2">
      <c r="A22" s="4"/>
      <c r="B22" s="43" t="s">
        <v>111</v>
      </c>
      <c r="C22" s="22"/>
      <c r="D22" s="16">
        <v>0.5</v>
      </c>
      <c r="E22" s="16">
        <v>0.5</v>
      </c>
      <c r="F22" s="16">
        <v>0</v>
      </c>
      <c r="G22" s="16">
        <v>0</v>
      </c>
      <c r="H22" s="16">
        <v>15</v>
      </c>
      <c r="I22" s="16">
        <v>56.8</v>
      </c>
      <c r="J22" s="16">
        <v>0.5</v>
      </c>
      <c r="K22" s="16">
        <v>0.4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8">
        <v>0</v>
      </c>
      <c r="S22" s="16">
        <v>0</v>
      </c>
      <c r="T22" s="61">
        <v>1100</v>
      </c>
      <c r="U22" s="24">
        <f>D22*T22/1000</f>
        <v>0.55000000000000004</v>
      </c>
    </row>
    <row r="23" spans="1:21" x14ac:dyDescent="0.2">
      <c r="A23" s="4"/>
      <c r="B23" s="43" t="s">
        <v>20</v>
      </c>
      <c r="C23" s="22"/>
      <c r="D23" s="16">
        <v>150</v>
      </c>
      <c r="E23" s="16">
        <v>150</v>
      </c>
      <c r="F23" s="16">
        <v>0</v>
      </c>
      <c r="G23" s="16">
        <v>0</v>
      </c>
      <c r="H23" s="16">
        <v>0.2</v>
      </c>
      <c r="I23" s="16">
        <v>2.4</v>
      </c>
      <c r="J23" s="16">
        <v>11.4</v>
      </c>
      <c r="K23" s="16">
        <v>2.8</v>
      </c>
      <c r="L23" s="16">
        <v>0.8</v>
      </c>
      <c r="M23" s="16">
        <v>1.5</v>
      </c>
      <c r="N23" s="16">
        <v>0</v>
      </c>
      <c r="O23" s="16">
        <v>0</v>
      </c>
      <c r="P23" s="16">
        <v>0</v>
      </c>
      <c r="Q23" s="16">
        <v>0</v>
      </c>
      <c r="R23" s="18">
        <v>0</v>
      </c>
      <c r="S23" s="16">
        <v>2.8</v>
      </c>
      <c r="T23" s="61">
        <v>0</v>
      </c>
      <c r="U23" s="24">
        <f>D23*T23/1000</f>
        <v>0</v>
      </c>
    </row>
    <row r="24" spans="1:21" ht="12.75" customHeight="1" x14ac:dyDescent="0.2">
      <c r="A24" s="4"/>
      <c r="B24" s="43" t="s">
        <v>15</v>
      </c>
      <c r="C24" s="22"/>
      <c r="D24" s="16">
        <v>15</v>
      </c>
      <c r="E24" s="16">
        <v>15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8">
        <v>0</v>
      </c>
      <c r="S24" s="16">
        <v>0</v>
      </c>
      <c r="T24" s="61">
        <v>75.28</v>
      </c>
      <c r="U24" s="24">
        <f>D24*T24/1000</f>
        <v>1.1292</v>
      </c>
    </row>
    <row r="25" spans="1:21" x14ac:dyDescent="0.2">
      <c r="A25" s="4"/>
      <c r="B25" s="43" t="s">
        <v>48</v>
      </c>
      <c r="C25" s="22"/>
      <c r="D25" s="16">
        <v>8</v>
      </c>
      <c r="E25" s="16">
        <v>7</v>
      </c>
      <c r="F25" s="16">
        <v>0</v>
      </c>
      <c r="G25" s="16">
        <v>0</v>
      </c>
      <c r="H25" s="16">
        <f>3*D25/100</f>
        <v>0.24</v>
      </c>
      <c r="I25" s="16">
        <f>34*D25/100</f>
        <v>2.72</v>
      </c>
      <c r="J25" s="16">
        <f>163*D25/100</f>
        <v>13.04</v>
      </c>
      <c r="K25" s="16">
        <f>40*D25/100</f>
        <v>3.2</v>
      </c>
      <c r="L25" s="16">
        <f>12*D25/100</f>
        <v>0.96</v>
      </c>
      <c r="M25" s="16">
        <f>22*D25/100</f>
        <v>1.76</v>
      </c>
      <c r="N25" s="16">
        <v>0</v>
      </c>
      <c r="O25" s="16">
        <v>0</v>
      </c>
      <c r="P25" s="16">
        <v>0</v>
      </c>
      <c r="Q25" s="16">
        <v>0</v>
      </c>
      <c r="R25" s="18">
        <v>0</v>
      </c>
      <c r="S25" s="16">
        <f>40*D25/100</f>
        <v>3.2</v>
      </c>
      <c r="T25" s="61">
        <v>160</v>
      </c>
      <c r="U25" s="24">
        <f>D25*T25/1000</f>
        <v>1.28</v>
      </c>
    </row>
    <row r="26" spans="1:21" x14ac:dyDescent="0.2">
      <c r="A26" s="4"/>
      <c r="B26" s="37" t="s">
        <v>25</v>
      </c>
      <c r="C26" s="2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8"/>
      <c r="S26" s="16"/>
      <c r="T26" s="61"/>
      <c r="U26" s="129">
        <f>SUM(U22:U25)</f>
        <v>2.9592000000000001</v>
      </c>
    </row>
    <row r="27" spans="1:21" x14ac:dyDescent="0.2">
      <c r="A27" s="6" t="s">
        <v>11</v>
      </c>
      <c r="B27" s="19" t="s">
        <v>1</v>
      </c>
      <c r="C27" s="19">
        <v>20</v>
      </c>
      <c r="D27" s="16">
        <v>20</v>
      </c>
      <c r="E27" s="16">
        <v>20</v>
      </c>
      <c r="F27" s="4">
        <f>7.7*E27/100</f>
        <v>1.54</v>
      </c>
      <c r="G27" s="4">
        <v>1.6</v>
      </c>
      <c r="H27" s="4">
        <f>49.8*E27/100</f>
        <v>9.9600000000000009</v>
      </c>
      <c r="I27" s="4">
        <f>262*E27/100</f>
        <v>52.4</v>
      </c>
      <c r="J27" s="4">
        <f>127*E27/100</f>
        <v>25.4</v>
      </c>
      <c r="K27" s="4">
        <f>26*E27/100</f>
        <v>5.2</v>
      </c>
      <c r="L27" s="4">
        <f>35*E27/100</f>
        <v>7</v>
      </c>
      <c r="M27" s="4">
        <f>83*E27/100</f>
        <v>16.600000000000001</v>
      </c>
      <c r="N27" s="4">
        <f>1.6*E27/100</f>
        <v>0.32</v>
      </c>
      <c r="O27" s="64">
        <v>0</v>
      </c>
      <c r="P27" s="4">
        <f>0.16*E27/100</f>
        <v>3.2000000000000001E-2</v>
      </c>
      <c r="Q27" s="4">
        <f>0.08*E27/100</f>
        <v>1.6E-2</v>
      </c>
      <c r="R27" s="21">
        <f>1.54*E27/100</f>
        <v>0.308</v>
      </c>
      <c r="S27" s="4">
        <v>0</v>
      </c>
      <c r="T27" s="24">
        <v>50</v>
      </c>
      <c r="U27" s="32">
        <f>D27*T27/1000</f>
        <v>1</v>
      </c>
    </row>
    <row r="28" spans="1:21" x14ac:dyDescent="0.2">
      <c r="A28" s="4" t="s">
        <v>98</v>
      </c>
      <c r="B28" s="19" t="s">
        <v>99</v>
      </c>
      <c r="C28" s="19">
        <v>50</v>
      </c>
      <c r="D28" s="16">
        <v>50</v>
      </c>
      <c r="E28" s="16">
        <v>50</v>
      </c>
      <c r="F28" s="4">
        <f>6.6*E28/100</f>
        <v>3.3</v>
      </c>
      <c r="G28" s="4">
        <f>1.2*E28/100</f>
        <v>0.6</v>
      </c>
      <c r="H28" s="4">
        <f>34.2*E28/100</f>
        <v>17.100000000000001</v>
      </c>
      <c r="I28" s="4">
        <f>181*E28/100</f>
        <v>90.5</v>
      </c>
      <c r="J28" s="4">
        <f>94*E28/100</f>
        <v>47</v>
      </c>
      <c r="K28" s="4">
        <f>34*E28/100</f>
        <v>17</v>
      </c>
      <c r="L28" s="4">
        <f>41*E28/100</f>
        <v>20.5</v>
      </c>
      <c r="M28" s="4">
        <f>120*E28/100</f>
        <v>60</v>
      </c>
      <c r="N28" s="4">
        <f>2.3*E28/100</f>
        <v>1.1499999999999999</v>
      </c>
      <c r="O28" s="64">
        <v>0</v>
      </c>
      <c r="P28" s="4">
        <v>0</v>
      </c>
      <c r="Q28" s="4">
        <v>0</v>
      </c>
      <c r="R28" s="21">
        <v>0</v>
      </c>
      <c r="S28" s="4">
        <v>0</v>
      </c>
      <c r="T28" s="16">
        <v>60</v>
      </c>
      <c r="U28" s="32">
        <f>D28*T28/1000</f>
        <v>3</v>
      </c>
    </row>
    <row r="29" spans="1:21" ht="15" customHeight="1" x14ac:dyDescent="0.2">
      <c r="A29" s="6" t="s">
        <v>11</v>
      </c>
      <c r="B29" s="19" t="s">
        <v>103</v>
      </c>
      <c r="C29" s="19">
        <v>180</v>
      </c>
      <c r="D29" s="41" t="s">
        <v>26</v>
      </c>
      <c r="E29" s="16">
        <v>180</v>
      </c>
      <c r="F29" s="4">
        <v>1.6</v>
      </c>
      <c r="G29" s="4">
        <v>0.4</v>
      </c>
      <c r="H29" s="4">
        <v>15</v>
      </c>
      <c r="I29" s="4">
        <v>76</v>
      </c>
      <c r="J29" s="4">
        <v>310</v>
      </c>
      <c r="K29" s="4">
        <v>70</v>
      </c>
      <c r="L29" s="4">
        <v>22</v>
      </c>
      <c r="M29" s="4">
        <v>34</v>
      </c>
      <c r="N29" s="4">
        <v>0.2</v>
      </c>
      <c r="O29" s="64">
        <v>20</v>
      </c>
      <c r="P29" s="4">
        <v>0.12</v>
      </c>
      <c r="Q29" s="4">
        <v>0.06</v>
      </c>
      <c r="R29" s="21">
        <v>0.6</v>
      </c>
      <c r="S29" s="4">
        <v>76</v>
      </c>
      <c r="T29" s="16">
        <v>110</v>
      </c>
      <c r="U29" s="32">
        <f>C29*T29/1000</f>
        <v>19.8</v>
      </c>
    </row>
    <row r="30" spans="1:21" ht="14.25" customHeight="1" x14ac:dyDescent="0.2">
      <c r="A30" s="6"/>
      <c r="B30" s="4" t="s">
        <v>12</v>
      </c>
      <c r="C30" s="82">
        <f>C7+C15+C20+C27+C28+C29</f>
        <v>727</v>
      </c>
      <c r="D30" s="4"/>
      <c r="E30" s="4"/>
      <c r="F30" s="82">
        <f t="shared" ref="F30:S30" si="3">F7+F15+F20+F27+F28+F29</f>
        <v>21.340000000000003</v>
      </c>
      <c r="G30" s="82">
        <f t="shared" si="3"/>
        <v>24.5</v>
      </c>
      <c r="H30" s="82">
        <f t="shared" si="3"/>
        <v>119.678</v>
      </c>
      <c r="I30" s="82">
        <f t="shared" si="3"/>
        <v>786.53999999999985</v>
      </c>
      <c r="J30" s="82">
        <f t="shared" si="3"/>
        <v>739.43000000000006</v>
      </c>
      <c r="K30" s="82">
        <f t="shared" si="3"/>
        <v>461.31999999999994</v>
      </c>
      <c r="L30" s="82">
        <f t="shared" si="3"/>
        <v>122.25</v>
      </c>
      <c r="M30" s="82">
        <f t="shared" si="3"/>
        <v>470.75</v>
      </c>
      <c r="N30" s="82">
        <f t="shared" si="3"/>
        <v>5.78</v>
      </c>
      <c r="O30" s="82">
        <f t="shared" si="3"/>
        <v>20.1065</v>
      </c>
      <c r="P30" s="82">
        <f t="shared" si="3"/>
        <v>0.152</v>
      </c>
      <c r="Q30" s="82">
        <f t="shared" si="3"/>
        <v>0.13300000000000001</v>
      </c>
      <c r="R30" s="82">
        <f t="shared" si="3"/>
        <v>3.1060000000000003</v>
      </c>
      <c r="S30" s="82">
        <f t="shared" si="3"/>
        <v>81.040000000000006</v>
      </c>
      <c r="T30" s="16"/>
      <c r="U30" s="33">
        <f>U14+U19+U26+U27+U28+U29</f>
        <v>67.371385000000004</v>
      </c>
    </row>
    <row r="31" spans="1:21" x14ac:dyDescent="0.2">
      <c r="A31" s="6"/>
      <c r="B31" s="4"/>
      <c r="C31" s="4"/>
      <c r="D31" s="4"/>
      <c r="E31" s="4"/>
      <c r="F31" s="34"/>
      <c r="G31" s="34"/>
      <c r="H31" s="34"/>
      <c r="I31" s="34"/>
      <c r="J31" s="34"/>
      <c r="K31" s="34"/>
      <c r="L31" s="34"/>
      <c r="M31" s="34"/>
      <c r="N31" s="34"/>
      <c r="O31" s="62"/>
      <c r="P31" s="34"/>
      <c r="Q31" s="34"/>
      <c r="R31" s="54"/>
      <c r="S31" s="34"/>
      <c r="T31" s="16"/>
      <c r="U31" s="52"/>
    </row>
    <row r="32" spans="1:21" x14ac:dyDescent="0.2">
      <c r="A32" s="6"/>
      <c r="B32" s="17" t="s">
        <v>74</v>
      </c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61"/>
      <c r="P32" s="16"/>
      <c r="Q32" s="16"/>
      <c r="R32" s="18"/>
      <c r="S32" s="16"/>
      <c r="T32" s="16"/>
      <c r="U32" s="16"/>
    </row>
    <row r="33" spans="1:21" x14ac:dyDescent="0.2">
      <c r="A33" s="6"/>
      <c r="B33" s="17" t="s">
        <v>0</v>
      </c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61"/>
      <c r="P33" s="16"/>
      <c r="Q33" s="16"/>
      <c r="R33" s="18"/>
      <c r="S33" s="16"/>
      <c r="T33" s="16"/>
      <c r="U33" s="16"/>
    </row>
    <row r="34" spans="1:21" ht="25.5" x14ac:dyDescent="0.2">
      <c r="A34" s="6" t="s">
        <v>40</v>
      </c>
      <c r="B34" s="19" t="s">
        <v>41</v>
      </c>
      <c r="C34" s="19">
        <v>200</v>
      </c>
      <c r="D34" s="16"/>
      <c r="E34" s="4"/>
      <c r="F34" s="47">
        <f>SUM(F35:F43)</f>
        <v>26.430199999999999</v>
      </c>
      <c r="G34" s="47">
        <f t="shared" ref="G34:S34" si="4">SUM(G35:G43)</f>
        <v>19.137999999999998</v>
      </c>
      <c r="H34" s="47">
        <f t="shared" si="4"/>
        <v>63.904799999999994</v>
      </c>
      <c r="I34" s="47">
        <f t="shared" si="4"/>
        <v>534.73299999999995</v>
      </c>
      <c r="J34" s="47">
        <f t="shared" si="4"/>
        <v>458.65200000000004</v>
      </c>
      <c r="K34" s="47">
        <f t="shared" si="4"/>
        <v>449.63199999999995</v>
      </c>
      <c r="L34" s="47">
        <f t="shared" si="4"/>
        <v>58.134</v>
      </c>
      <c r="M34" s="47">
        <f t="shared" si="4"/>
        <v>454.83999999999992</v>
      </c>
      <c r="N34" s="47">
        <f t="shared" si="4"/>
        <v>0.82400000000000007</v>
      </c>
      <c r="O34" s="47">
        <f t="shared" si="4"/>
        <v>18.923999999999999</v>
      </c>
      <c r="P34" s="47">
        <f t="shared" si="4"/>
        <v>0</v>
      </c>
      <c r="Q34" s="47">
        <f t="shared" si="4"/>
        <v>0.39</v>
      </c>
      <c r="R34" s="47">
        <f t="shared" si="4"/>
        <v>7.392E-2</v>
      </c>
      <c r="S34" s="47">
        <f t="shared" si="4"/>
        <v>0</v>
      </c>
      <c r="T34" s="16"/>
      <c r="U34" s="16"/>
    </row>
    <row r="35" spans="1:21" x14ac:dyDescent="0.2">
      <c r="A35" s="6"/>
      <c r="B35" s="22" t="s">
        <v>42</v>
      </c>
      <c r="C35" s="22"/>
      <c r="D35" s="16">
        <v>113</v>
      </c>
      <c r="E35" s="16">
        <v>113</v>
      </c>
      <c r="F35" s="24">
        <f>16.7*E35/100</f>
        <v>18.870999999999999</v>
      </c>
      <c r="G35" s="24">
        <f>9*E35/100</f>
        <v>10.17</v>
      </c>
      <c r="H35" s="24">
        <f>2*E35/100</f>
        <v>2.2599999999999998</v>
      </c>
      <c r="I35" s="24">
        <f>155.3*E35/100</f>
        <v>175.489</v>
      </c>
      <c r="J35" s="24">
        <f>112*E35/100</f>
        <v>126.56</v>
      </c>
      <c r="K35" s="24">
        <f>164*E35/100</f>
        <v>185.32</v>
      </c>
      <c r="L35" s="24">
        <f>23*E35/100</f>
        <v>25.99</v>
      </c>
      <c r="M35" s="24">
        <f>220*E35/100</f>
        <v>248.6</v>
      </c>
      <c r="N35" s="24">
        <f>0.4*E35/100</f>
        <v>0.45200000000000001</v>
      </c>
      <c r="O35" s="52">
        <v>0</v>
      </c>
      <c r="P35" s="24">
        <v>0</v>
      </c>
      <c r="Q35" s="24">
        <v>0.39</v>
      </c>
      <c r="R35" s="49">
        <v>0</v>
      </c>
      <c r="S35" s="24">
        <v>0</v>
      </c>
      <c r="T35" s="16">
        <v>390</v>
      </c>
      <c r="U35" s="24">
        <f>D35*T35/1000</f>
        <v>44.07</v>
      </c>
    </row>
    <row r="36" spans="1:21" x14ac:dyDescent="0.2">
      <c r="A36" s="6"/>
      <c r="B36" s="22" t="s">
        <v>43</v>
      </c>
      <c r="C36" s="22"/>
      <c r="D36" s="16">
        <v>7.2</v>
      </c>
      <c r="E36" s="16">
        <v>7.2</v>
      </c>
      <c r="F36" s="24">
        <f>10.3*E36/100</f>
        <v>0.74160000000000015</v>
      </c>
      <c r="G36" s="24">
        <f>1*E36/100</f>
        <v>7.2000000000000008E-2</v>
      </c>
      <c r="H36" s="24">
        <f>67.9*E36/100</f>
        <v>4.8888000000000007</v>
      </c>
      <c r="I36" s="24">
        <f>328*E36/100</f>
        <v>23.616</v>
      </c>
      <c r="J36" s="24">
        <f>120*E36/100</f>
        <v>8.64</v>
      </c>
      <c r="K36" s="24">
        <f>20*E36/100</f>
        <v>1.44</v>
      </c>
      <c r="L36" s="24">
        <f>30*E36/100</f>
        <v>2.16</v>
      </c>
      <c r="M36" s="24">
        <f>84*E36/100</f>
        <v>6.0480000000000009</v>
      </c>
      <c r="N36" s="24">
        <f>2.3*E36/100</f>
        <v>0.1656</v>
      </c>
      <c r="O36" s="52">
        <v>0</v>
      </c>
      <c r="P36" s="24">
        <v>0</v>
      </c>
      <c r="Q36" s="24">
        <v>0</v>
      </c>
      <c r="R36" s="49">
        <v>0</v>
      </c>
      <c r="S36" s="24">
        <v>0</v>
      </c>
      <c r="T36" s="16">
        <v>58.52</v>
      </c>
      <c r="U36" s="24">
        <f>D36*T36/1000</f>
        <v>0.42134400000000005</v>
      </c>
    </row>
    <row r="37" spans="1:21" x14ac:dyDescent="0.2">
      <c r="A37" s="6"/>
      <c r="B37" s="22" t="s">
        <v>15</v>
      </c>
      <c r="C37" s="22"/>
      <c r="D37" s="16">
        <v>10</v>
      </c>
      <c r="E37" s="16">
        <v>10</v>
      </c>
      <c r="F37" s="24">
        <v>0</v>
      </c>
      <c r="G37" s="24">
        <v>0</v>
      </c>
      <c r="H37" s="24">
        <f>99.8*E37/100</f>
        <v>9.98</v>
      </c>
      <c r="I37" s="24">
        <f>379*E37/100</f>
        <v>37.9</v>
      </c>
      <c r="J37" s="24">
        <f>3*E37/100</f>
        <v>0.3</v>
      </c>
      <c r="K37" s="24">
        <f>2*E37/100</f>
        <v>0.2</v>
      </c>
      <c r="L37" s="24">
        <v>0</v>
      </c>
      <c r="M37" s="24">
        <v>0</v>
      </c>
      <c r="N37" s="24">
        <v>0</v>
      </c>
      <c r="O37" s="52">
        <v>0</v>
      </c>
      <c r="P37" s="24">
        <v>0</v>
      </c>
      <c r="Q37" s="24">
        <v>0</v>
      </c>
      <c r="R37" s="49">
        <v>0</v>
      </c>
      <c r="S37" s="24">
        <v>0</v>
      </c>
      <c r="T37" s="16">
        <v>75.28</v>
      </c>
      <c r="U37" s="24">
        <f>D37*T37/1000</f>
        <v>0.75279999999999991</v>
      </c>
    </row>
    <row r="38" spans="1:21" ht="14.25" customHeight="1" x14ac:dyDescent="0.2">
      <c r="A38" s="6"/>
      <c r="B38" s="22" t="s">
        <v>24</v>
      </c>
      <c r="C38" s="22"/>
      <c r="D38" s="16">
        <v>1</v>
      </c>
      <c r="E38" s="16">
        <v>1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52">
        <v>0</v>
      </c>
      <c r="P38" s="24">
        <v>0</v>
      </c>
      <c r="Q38" s="24">
        <v>0</v>
      </c>
      <c r="R38" s="49">
        <v>0</v>
      </c>
      <c r="S38" s="24">
        <v>0</v>
      </c>
      <c r="T38" s="16">
        <v>20.87</v>
      </c>
      <c r="U38" s="24">
        <f>D38*T38/1000</f>
        <v>2.087E-2</v>
      </c>
    </row>
    <row r="39" spans="1:21" x14ac:dyDescent="0.2">
      <c r="A39" s="6"/>
      <c r="B39" s="22" t="s">
        <v>28</v>
      </c>
      <c r="C39" s="22"/>
      <c r="D39" s="16">
        <v>4.8</v>
      </c>
      <c r="E39" s="16">
        <v>4.8</v>
      </c>
      <c r="F39" s="24">
        <f>12.7*E39/100</f>
        <v>0.60959999999999992</v>
      </c>
      <c r="G39" s="24">
        <f>11.5*E39/100</f>
        <v>0.55199999999999994</v>
      </c>
      <c r="H39" s="24">
        <v>0</v>
      </c>
      <c r="I39" s="24">
        <f>157*E39/100</f>
        <v>7.5360000000000005</v>
      </c>
      <c r="J39" s="24">
        <f>140*E39/100</f>
        <v>6.72</v>
      </c>
      <c r="K39" s="24">
        <f>55*E39/100</f>
        <v>2.64</v>
      </c>
      <c r="L39" s="24">
        <f>12*E39/100</f>
        <v>0.57599999999999996</v>
      </c>
      <c r="M39" s="24">
        <f>192*E39/100</f>
        <v>9.2159999999999993</v>
      </c>
      <c r="N39" s="24">
        <f>2.5*E39/100</f>
        <v>0.12</v>
      </c>
      <c r="O39" s="52">
        <v>0</v>
      </c>
      <c r="P39" s="24">
        <v>0</v>
      </c>
      <c r="Q39" s="24">
        <v>0</v>
      </c>
      <c r="R39" s="49">
        <v>0</v>
      </c>
      <c r="S39" s="24">
        <v>0</v>
      </c>
      <c r="T39" s="16">
        <v>10.3</v>
      </c>
      <c r="U39" s="24">
        <f>D39*T39/40</f>
        <v>1.2360000000000002</v>
      </c>
    </row>
    <row r="40" spans="1:21" x14ac:dyDescent="0.2">
      <c r="A40" s="6"/>
      <c r="B40" s="22" t="s">
        <v>22</v>
      </c>
      <c r="C40" s="22"/>
      <c r="D40" s="16">
        <v>4.8</v>
      </c>
      <c r="E40" s="16">
        <v>4.8</v>
      </c>
      <c r="F40" s="16">
        <f>0.8*D40/100</f>
        <v>3.8399999999999997E-2</v>
      </c>
      <c r="G40" s="16">
        <f>72.5*D40/100</f>
        <v>3.48</v>
      </c>
      <c r="H40" s="16">
        <f>1.3*D40/100</f>
        <v>6.2400000000000004E-2</v>
      </c>
      <c r="I40" s="16">
        <f>661*D40/100</f>
        <v>31.727999999999998</v>
      </c>
      <c r="J40" s="26">
        <f>23*D40/100</f>
        <v>1.1039999999999999</v>
      </c>
      <c r="K40" s="16">
        <f>22*D40/100</f>
        <v>1.056</v>
      </c>
      <c r="L40" s="26">
        <f>3*D40/100</f>
        <v>0.14399999999999999</v>
      </c>
      <c r="M40" s="16">
        <f>19*E40/100</f>
        <v>0.91200000000000003</v>
      </c>
      <c r="N40" s="16">
        <f>0.2*E40/100</f>
        <v>9.5999999999999992E-3</v>
      </c>
      <c r="O40" s="16">
        <f>0.5*E40/100</f>
        <v>2.4E-2</v>
      </c>
      <c r="P40" s="16">
        <v>0</v>
      </c>
      <c r="Q40" s="16">
        <v>0</v>
      </c>
      <c r="R40" s="18">
        <v>0</v>
      </c>
      <c r="S40" s="16">
        <v>0</v>
      </c>
      <c r="T40" s="16">
        <v>800</v>
      </c>
      <c r="U40" s="24">
        <f>D40*T40/1000</f>
        <v>3.84</v>
      </c>
    </row>
    <row r="41" spans="1:21" x14ac:dyDescent="0.2">
      <c r="A41" s="6"/>
      <c r="B41" s="22" t="s">
        <v>34</v>
      </c>
      <c r="C41" s="22"/>
      <c r="D41" s="16">
        <v>4.8</v>
      </c>
      <c r="E41" s="16">
        <v>4.8</v>
      </c>
      <c r="F41" s="24">
        <f>7.7*E41/100</f>
        <v>0.36959999999999998</v>
      </c>
      <c r="G41" s="24">
        <f>3*E41/100</f>
        <v>0.14399999999999999</v>
      </c>
      <c r="H41" s="24">
        <f>49.8*E41/100</f>
        <v>2.3903999999999996</v>
      </c>
      <c r="I41" s="24">
        <f>262*E41/100</f>
        <v>12.575999999999999</v>
      </c>
      <c r="J41" s="24">
        <f>127*E41/100</f>
        <v>6.0960000000000001</v>
      </c>
      <c r="K41" s="24">
        <f>26*E41/100</f>
        <v>1.248</v>
      </c>
      <c r="L41" s="24">
        <f>35*E41/100</f>
        <v>1.68</v>
      </c>
      <c r="M41" s="24">
        <f>83*E41/100</f>
        <v>3.984</v>
      </c>
      <c r="N41" s="24">
        <f>1.6*E41/100</f>
        <v>7.6799999999999993E-2</v>
      </c>
      <c r="O41" s="52">
        <v>0</v>
      </c>
      <c r="P41" s="24">
        <v>0</v>
      </c>
      <c r="Q41" s="24">
        <v>0</v>
      </c>
      <c r="R41" s="49">
        <f>1.54*E41/100</f>
        <v>7.392E-2</v>
      </c>
      <c r="S41" s="24">
        <v>0</v>
      </c>
      <c r="T41" s="16">
        <v>90</v>
      </c>
      <c r="U41" s="24">
        <f>D41*T41/1000</f>
        <v>0.432</v>
      </c>
    </row>
    <row r="42" spans="1:21" x14ac:dyDescent="0.2">
      <c r="A42" s="6"/>
      <c r="B42" s="22" t="s">
        <v>27</v>
      </c>
      <c r="C42" s="22"/>
      <c r="D42" s="16">
        <v>4.8</v>
      </c>
      <c r="E42" s="16">
        <v>4.8</v>
      </c>
      <c r="F42" s="24">
        <f>2.5*E42/100</f>
        <v>0.12</v>
      </c>
      <c r="G42" s="24">
        <f>15*E42/100</f>
        <v>0.72</v>
      </c>
      <c r="H42" s="24">
        <f>3.4*E42/100</f>
        <v>0.16320000000000001</v>
      </c>
      <c r="I42" s="24">
        <f>206*E42/100</f>
        <v>9.8879999999999999</v>
      </c>
      <c r="J42" s="24">
        <f>109*E42/100</f>
        <v>5.2319999999999993</v>
      </c>
      <c r="K42" s="24">
        <f>86*E42/100</f>
        <v>4.1280000000000001</v>
      </c>
      <c r="L42" s="24">
        <f>8*E42/100</f>
        <v>0.38400000000000001</v>
      </c>
      <c r="M42" s="24">
        <f>60*E42/100</f>
        <v>2.88</v>
      </c>
      <c r="N42" s="24">
        <v>0</v>
      </c>
      <c r="O42" s="52">
        <v>0</v>
      </c>
      <c r="P42" s="24">
        <v>0</v>
      </c>
      <c r="Q42" s="24">
        <v>0</v>
      </c>
      <c r="R42" s="49">
        <v>0</v>
      </c>
      <c r="S42" s="24">
        <v>0</v>
      </c>
      <c r="T42" s="16">
        <v>303.64</v>
      </c>
      <c r="U42" s="24">
        <f>D42*T42/1000</f>
        <v>1.4574719999999999</v>
      </c>
    </row>
    <row r="43" spans="1:21" x14ac:dyDescent="0.2">
      <c r="A43" s="6"/>
      <c r="B43" s="22" t="s">
        <v>44</v>
      </c>
      <c r="C43" s="22"/>
      <c r="D43" s="16">
        <v>80</v>
      </c>
      <c r="E43" s="16">
        <v>80</v>
      </c>
      <c r="F43" s="24">
        <f>7.1*E43/100</f>
        <v>5.68</v>
      </c>
      <c r="G43" s="24">
        <f>5*E43/100</f>
        <v>4</v>
      </c>
      <c r="H43" s="24">
        <f>55.2*E43/100</f>
        <v>44.16</v>
      </c>
      <c r="I43" s="24">
        <f>295*E43/100</f>
        <v>236</v>
      </c>
      <c r="J43" s="24">
        <f>380*E43/100</f>
        <v>304</v>
      </c>
      <c r="K43" s="24">
        <f>317*E43/100</f>
        <v>253.6</v>
      </c>
      <c r="L43" s="24">
        <f>34*E43/100</f>
        <v>27.2</v>
      </c>
      <c r="M43" s="24">
        <f>229*E43/100</f>
        <v>183.2</v>
      </c>
      <c r="N43" s="24">
        <v>0</v>
      </c>
      <c r="O43" s="52">
        <v>18.899999999999999</v>
      </c>
      <c r="P43" s="24">
        <v>0</v>
      </c>
      <c r="Q43" s="24">
        <v>0</v>
      </c>
      <c r="R43" s="49">
        <v>0</v>
      </c>
      <c r="S43" s="24">
        <v>0</v>
      </c>
      <c r="T43" s="16">
        <v>400</v>
      </c>
      <c r="U43" s="24">
        <f>D43*T43/1000</f>
        <v>32</v>
      </c>
    </row>
    <row r="44" spans="1:21" x14ac:dyDescent="0.2">
      <c r="A44" s="6"/>
      <c r="B44" s="28" t="s">
        <v>25</v>
      </c>
      <c r="C44" s="28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61"/>
      <c r="P44" s="16"/>
      <c r="Q44" s="16"/>
      <c r="R44" s="18"/>
      <c r="S44" s="16"/>
      <c r="T44" s="16"/>
      <c r="U44" s="32">
        <f>SUM(U35:U43)</f>
        <v>84.230486000000013</v>
      </c>
    </row>
    <row r="45" spans="1:21" x14ac:dyDescent="0.2">
      <c r="A45" s="6" t="s">
        <v>37</v>
      </c>
      <c r="B45" s="4" t="s">
        <v>38</v>
      </c>
      <c r="C45" s="4">
        <v>200</v>
      </c>
      <c r="D45" s="16"/>
      <c r="E45" s="4"/>
      <c r="F45" s="47">
        <f>F46+F47+F48+F49</f>
        <v>3.7719999999999998</v>
      </c>
      <c r="G45" s="47">
        <f t="shared" ref="G45:S45" si="5">G46+G47+G48+G49</f>
        <v>3.8000000000000003</v>
      </c>
      <c r="H45" s="47">
        <f t="shared" si="5"/>
        <v>25.068000000000001</v>
      </c>
      <c r="I45" s="47">
        <f t="shared" si="5"/>
        <v>145.36000000000001</v>
      </c>
      <c r="J45" s="47">
        <f t="shared" si="5"/>
        <v>206.96</v>
      </c>
      <c r="K45" s="47">
        <f t="shared" si="5"/>
        <v>125.52000000000001</v>
      </c>
      <c r="L45" s="47">
        <f t="shared" si="5"/>
        <v>31</v>
      </c>
      <c r="M45" s="47">
        <f t="shared" si="5"/>
        <v>116.2</v>
      </c>
      <c r="N45" s="47">
        <f t="shared" si="5"/>
        <v>0.98</v>
      </c>
      <c r="O45" s="65">
        <f t="shared" si="5"/>
        <v>22.12</v>
      </c>
      <c r="P45" s="47">
        <f t="shared" si="5"/>
        <v>4.3999999999999997E-2</v>
      </c>
      <c r="Q45" s="47">
        <f t="shared" si="5"/>
        <v>0.158</v>
      </c>
      <c r="R45" s="47">
        <f t="shared" si="5"/>
        <v>0.17200000000000001</v>
      </c>
      <c r="S45" s="47">
        <f t="shared" si="5"/>
        <v>1.3</v>
      </c>
      <c r="T45" s="16"/>
      <c r="U45" s="16"/>
    </row>
    <row r="46" spans="1:21" x14ac:dyDescent="0.2">
      <c r="A46" s="6"/>
      <c r="B46" s="16" t="s">
        <v>39</v>
      </c>
      <c r="C46" s="16"/>
      <c r="D46" s="16">
        <v>4</v>
      </c>
      <c r="E46" s="16">
        <v>4</v>
      </c>
      <c r="F46" s="16">
        <f>24.3*E46/100</f>
        <v>0.97199999999999998</v>
      </c>
      <c r="G46" s="16">
        <f>15*E46/100</f>
        <v>0.6</v>
      </c>
      <c r="H46" s="16">
        <f>10.2*E46/100</f>
        <v>0.40799999999999997</v>
      </c>
      <c r="I46" s="16">
        <f>289*E46/100</f>
        <v>11.56</v>
      </c>
      <c r="J46" s="25">
        <f>1509*E46/100</f>
        <v>60.36</v>
      </c>
      <c r="K46" s="16">
        <f>128*E46/100</f>
        <v>5.12</v>
      </c>
      <c r="L46" s="16">
        <f>425*E46/100</f>
        <v>17</v>
      </c>
      <c r="M46" s="16">
        <f>655*E46/100</f>
        <v>26.2</v>
      </c>
      <c r="N46" s="16">
        <f>22*E46/100</f>
        <v>0.88</v>
      </c>
      <c r="O46" s="61">
        <f>3*E46/100</f>
        <v>0.12</v>
      </c>
      <c r="P46" s="16">
        <f>0.1*E46/100</f>
        <v>4.0000000000000001E-3</v>
      </c>
      <c r="Q46" s="16">
        <f>0.2*E46/100</f>
        <v>8.0000000000000002E-3</v>
      </c>
      <c r="R46" s="18">
        <f>1.8*E46/100</f>
        <v>7.2000000000000008E-2</v>
      </c>
      <c r="S46" s="16">
        <v>0</v>
      </c>
      <c r="T46" s="16">
        <v>1000</v>
      </c>
      <c r="U46" s="24">
        <f>D46*T46/1000</f>
        <v>4</v>
      </c>
    </row>
    <row r="47" spans="1:21" x14ac:dyDescent="0.2">
      <c r="A47" s="6"/>
      <c r="B47" s="16" t="s">
        <v>14</v>
      </c>
      <c r="C47" s="16"/>
      <c r="D47" s="16">
        <v>100</v>
      </c>
      <c r="E47" s="16">
        <v>100</v>
      </c>
      <c r="F47" s="16">
        <f>2.8*E47/100</f>
        <v>2.8</v>
      </c>
      <c r="G47" s="16">
        <f>3.2*E47/100</f>
        <v>3.2</v>
      </c>
      <c r="H47" s="16">
        <f>4.7*E47/100</f>
        <v>4.7</v>
      </c>
      <c r="I47" s="16">
        <f>58*E47/100</f>
        <v>58</v>
      </c>
      <c r="J47" s="25">
        <f>146*E47/100</f>
        <v>146</v>
      </c>
      <c r="K47" s="16">
        <f>120*E47/100</f>
        <v>120</v>
      </c>
      <c r="L47" s="16">
        <f>14*E47/100</f>
        <v>14</v>
      </c>
      <c r="M47" s="16">
        <f>90*E47/100</f>
        <v>90</v>
      </c>
      <c r="N47" s="16">
        <f>0.1*E47/100</f>
        <v>0.1</v>
      </c>
      <c r="O47" s="61">
        <v>22</v>
      </c>
      <c r="P47" s="16">
        <f>0.04*E47/100</f>
        <v>0.04</v>
      </c>
      <c r="Q47" s="16">
        <f>0.15*E47/100</f>
        <v>0.15</v>
      </c>
      <c r="R47" s="18">
        <f>0.1*E47/100</f>
        <v>0.1</v>
      </c>
      <c r="S47" s="16">
        <f>1.3*E47/100</f>
        <v>1.3</v>
      </c>
      <c r="T47" s="16">
        <v>79.64</v>
      </c>
      <c r="U47" s="24">
        <f>D47*T47/1000</f>
        <v>7.9640000000000004</v>
      </c>
    </row>
    <row r="48" spans="1:21" x14ac:dyDescent="0.2">
      <c r="A48" s="6"/>
      <c r="B48" s="16" t="s">
        <v>15</v>
      </c>
      <c r="C48" s="16"/>
      <c r="D48" s="16">
        <v>20</v>
      </c>
      <c r="E48" s="16">
        <v>20</v>
      </c>
      <c r="F48" s="24">
        <v>0</v>
      </c>
      <c r="G48" s="24">
        <v>0</v>
      </c>
      <c r="H48" s="24">
        <f>99.8*E48/100</f>
        <v>19.96</v>
      </c>
      <c r="I48" s="24">
        <f>379*E48/100</f>
        <v>75.8</v>
      </c>
      <c r="J48" s="24">
        <f>3*E48/100</f>
        <v>0.6</v>
      </c>
      <c r="K48" s="24">
        <f>2*E48/100</f>
        <v>0.4</v>
      </c>
      <c r="L48" s="24">
        <v>0</v>
      </c>
      <c r="M48" s="24">
        <v>0</v>
      </c>
      <c r="N48" s="24">
        <v>0</v>
      </c>
      <c r="O48" s="52">
        <v>0</v>
      </c>
      <c r="P48" s="24">
        <v>0</v>
      </c>
      <c r="Q48" s="24">
        <v>0</v>
      </c>
      <c r="R48" s="49">
        <v>0</v>
      </c>
      <c r="S48" s="24">
        <v>0</v>
      </c>
      <c r="T48" s="16">
        <v>75.28</v>
      </c>
      <c r="U48" s="24">
        <f>D48*T48/1000</f>
        <v>1.5055999999999998</v>
      </c>
    </row>
    <row r="49" spans="1:21" x14ac:dyDescent="0.2">
      <c r="A49" s="6"/>
      <c r="B49" s="16" t="s">
        <v>20</v>
      </c>
      <c r="C49" s="16"/>
      <c r="D49" s="16">
        <v>110</v>
      </c>
      <c r="E49" s="16">
        <v>110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61">
        <v>0</v>
      </c>
      <c r="P49" s="16">
        <v>0</v>
      </c>
      <c r="Q49" s="16">
        <v>0</v>
      </c>
      <c r="R49" s="18">
        <v>0</v>
      </c>
      <c r="S49" s="16">
        <v>0</v>
      </c>
      <c r="T49" s="16">
        <v>0</v>
      </c>
      <c r="U49" s="24">
        <f>D49*T49/1000</f>
        <v>0</v>
      </c>
    </row>
    <row r="50" spans="1:21" x14ac:dyDescent="0.2">
      <c r="A50" s="6"/>
      <c r="B50" s="28" t="s">
        <v>25</v>
      </c>
      <c r="C50" s="28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61"/>
      <c r="P50" s="16"/>
      <c r="Q50" s="16"/>
      <c r="R50" s="18"/>
      <c r="S50" s="16"/>
      <c r="T50" s="16"/>
      <c r="U50" s="32">
        <f>SUM(U46:U49)</f>
        <v>13.4696</v>
      </c>
    </row>
    <row r="51" spans="1:21" x14ac:dyDescent="0.2">
      <c r="A51" s="71" t="s">
        <v>11</v>
      </c>
      <c r="B51" s="19" t="s">
        <v>1</v>
      </c>
      <c r="C51" s="19">
        <v>50</v>
      </c>
      <c r="D51" s="16">
        <v>50</v>
      </c>
      <c r="E51" s="16">
        <v>50</v>
      </c>
      <c r="F51" s="4">
        <f>7.7*E51/100</f>
        <v>3.85</v>
      </c>
      <c r="G51" s="4">
        <v>5.5</v>
      </c>
      <c r="H51" s="4">
        <f>49.8*E51/100</f>
        <v>24.9</v>
      </c>
      <c r="I51" s="4">
        <f>262*E51/100</f>
        <v>131</v>
      </c>
      <c r="J51" s="4">
        <f>127*E51/100</f>
        <v>63.5</v>
      </c>
      <c r="K51" s="4">
        <f>26*E51/100</f>
        <v>13</v>
      </c>
      <c r="L51" s="4">
        <f>35*E51/100</f>
        <v>17.5</v>
      </c>
      <c r="M51" s="4">
        <f>83*E51/100</f>
        <v>41.5</v>
      </c>
      <c r="N51" s="4">
        <f>1.6*E51/100</f>
        <v>0.8</v>
      </c>
      <c r="O51" s="64">
        <v>0</v>
      </c>
      <c r="P51" s="4">
        <f>0.16*E51/100</f>
        <v>0.08</v>
      </c>
      <c r="Q51" s="4">
        <f>0.08*E51/100</f>
        <v>0.04</v>
      </c>
      <c r="R51" s="21">
        <f>1.54*E51/100</f>
        <v>0.77</v>
      </c>
      <c r="S51" s="4">
        <v>0</v>
      </c>
      <c r="T51" s="16">
        <v>50</v>
      </c>
      <c r="U51" s="32">
        <f>E51*T51/1000</f>
        <v>2.5</v>
      </c>
    </row>
    <row r="52" spans="1:21" x14ac:dyDescent="0.2">
      <c r="A52" s="4" t="s">
        <v>98</v>
      </c>
      <c r="B52" s="19" t="s">
        <v>99</v>
      </c>
      <c r="C52" s="19">
        <v>50</v>
      </c>
      <c r="D52" s="16">
        <v>50</v>
      </c>
      <c r="E52" s="16">
        <v>50</v>
      </c>
      <c r="F52" s="4">
        <f>6.6*E52/100</f>
        <v>3.3</v>
      </c>
      <c r="G52" s="4">
        <f>1.2*E52/100</f>
        <v>0.6</v>
      </c>
      <c r="H52" s="4">
        <f>34.2*E52/100</f>
        <v>17.100000000000001</v>
      </c>
      <c r="I52" s="4">
        <f>181*E52/100</f>
        <v>90.5</v>
      </c>
      <c r="J52" s="4">
        <f>94*E52/100</f>
        <v>47</v>
      </c>
      <c r="K52" s="4">
        <f>34*E52/100</f>
        <v>17</v>
      </c>
      <c r="L52" s="4">
        <f>41*E52/100</f>
        <v>20.5</v>
      </c>
      <c r="M52" s="4">
        <f>120*E52/100</f>
        <v>60</v>
      </c>
      <c r="N52" s="4">
        <f>2.3*E52/100</f>
        <v>1.1499999999999999</v>
      </c>
      <c r="O52" s="64">
        <v>0</v>
      </c>
      <c r="P52" s="4">
        <v>0</v>
      </c>
      <c r="Q52" s="4">
        <v>0</v>
      </c>
      <c r="R52" s="21">
        <v>0</v>
      </c>
      <c r="S52" s="4">
        <v>0</v>
      </c>
      <c r="T52" s="16">
        <v>60</v>
      </c>
      <c r="U52" s="32">
        <f>E52*T52/1000</f>
        <v>3</v>
      </c>
    </row>
    <row r="53" spans="1:21" x14ac:dyDescent="0.2">
      <c r="A53" s="71" t="s">
        <v>11</v>
      </c>
      <c r="B53" s="19" t="s">
        <v>56</v>
      </c>
      <c r="C53" s="19">
        <v>180</v>
      </c>
      <c r="D53" s="16" t="s">
        <v>26</v>
      </c>
      <c r="E53" s="16">
        <v>180</v>
      </c>
      <c r="F53" s="4">
        <f>0.4*E53/100</f>
        <v>0.72</v>
      </c>
      <c r="G53" s="4">
        <f>0.4*E53/100</f>
        <v>0.72</v>
      </c>
      <c r="H53" s="4">
        <f>9.8*E53/100</f>
        <v>17.64</v>
      </c>
      <c r="I53" s="4">
        <f>47*E53/100</f>
        <v>84.6</v>
      </c>
      <c r="J53" s="4">
        <f>278*E53/100</f>
        <v>500.4</v>
      </c>
      <c r="K53" s="4">
        <f>16*E53/100</f>
        <v>28.8</v>
      </c>
      <c r="L53" s="4">
        <f>9*E53/100</f>
        <v>16.2</v>
      </c>
      <c r="M53" s="4">
        <f>11*E53/100</f>
        <v>19.8</v>
      </c>
      <c r="N53" s="4">
        <f>2.2*E53/100</f>
        <v>3.9600000000000004</v>
      </c>
      <c r="O53" s="64">
        <v>10</v>
      </c>
      <c r="P53" s="4">
        <v>0</v>
      </c>
      <c r="Q53" s="4">
        <v>0.04</v>
      </c>
      <c r="R53" s="21">
        <v>0</v>
      </c>
      <c r="S53" s="4">
        <f>10*E53/100</f>
        <v>18</v>
      </c>
      <c r="T53" s="16">
        <v>80</v>
      </c>
      <c r="U53" s="32">
        <f>C53*T53/1000</f>
        <v>14.4</v>
      </c>
    </row>
    <row r="54" spans="1:21" x14ac:dyDescent="0.2">
      <c r="A54" s="71"/>
      <c r="B54" s="4" t="s">
        <v>12</v>
      </c>
      <c r="C54" s="83">
        <f>C34+C45+C51+C52+C53</f>
        <v>680</v>
      </c>
      <c r="D54" s="16"/>
      <c r="E54" s="4"/>
      <c r="F54" s="83">
        <f t="shared" ref="F54:S54" si="6">F34+F45+F51+F52+F53</f>
        <v>38.072199999999995</v>
      </c>
      <c r="G54" s="83">
        <f t="shared" si="6"/>
        <v>29.757999999999999</v>
      </c>
      <c r="H54" s="83">
        <f t="shared" si="6"/>
        <v>148.61279999999999</v>
      </c>
      <c r="I54" s="83">
        <f t="shared" si="6"/>
        <v>986.19299999999998</v>
      </c>
      <c r="J54" s="83">
        <f t="shared" si="6"/>
        <v>1276.5120000000002</v>
      </c>
      <c r="K54" s="83">
        <f t="shared" si="6"/>
        <v>633.95199999999988</v>
      </c>
      <c r="L54" s="83">
        <f t="shared" si="6"/>
        <v>143.334</v>
      </c>
      <c r="M54" s="83">
        <f t="shared" si="6"/>
        <v>692.33999999999992</v>
      </c>
      <c r="N54" s="83">
        <f t="shared" si="6"/>
        <v>7.7140000000000004</v>
      </c>
      <c r="O54" s="83">
        <f t="shared" si="6"/>
        <v>51.043999999999997</v>
      </c>
      <c r="P54" s="83">
        <f t="shared" si="6"/>
        <v>0.124</v>
      </c>
      <c r="Q54" s="83">
        <f t="shared" si="6"/>
        <v>0.62800000000000011</v>
      </c>
      <c r="R54" s="83">
        <f t="shared" si="6"/>
        <v>1.0159199999999999</v>
      </c>
      <c r="S54" s="83">
        <f t="shared" si="6"/>
        <v>19.3</v>
      </c>
      <c r="T54" s="24"/>
      <c r="U54" s="129">
        <f>U44+U50+U51+U52+U53</f>
        <v>117.60008600000002</v>
      </c>
    </row>
    <row r="55" spans="1:21" x14ac:dyDescent="0.2">
      <c r="A55" s="6"/>
      <c r="B55" s="17" t="s">
        <v>77</v>
      </c>
      <c r="C55" s="17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61"/>
      <c r="P55" s="16"/>
      <c r="Q55" s="16"/>
      <c r="R55" s="18"/>
      <c r="S55" s="16"/>
      <c r="T55" s="16"/>
      <c r="U55" s="16"/>
    </row>
    <row r="56" spans="1:21" x14ac:dyDescent="0.2">
      <c r="A56" s="6"/>
      <c r="B56" s="17" t="s">
        <v>0</v>
      </c>
      <c r="C56" s="17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61"/>
      <c r="P56" s="16"/>
      <c r="Q56" s="16"/>
      <c r="R56" s="18"/>
      <c r="S56" s="16"/>
      <c r="T56" s="16"/>
      <c r="U56" s="16"/>
    </row>
    <row r="57" spans="1:21" x14ac:dyDescent="0.2">
      <c r="A57" s="6" t="s">
        <v>112</v>
      </c>
      <c r="B57" s="19" t="s">
        <v>113</v>
      </c>
      <c r="C57" s="19">
        <v>270</v>
      </c>
      <c r="D57" s="16"/>
      <c r="E57" s="4"/>
      <c r="F57" s="47">
        <f>SUM(F58:F65)</f>
        <v>29.207500000000007</v>
      </c>
      <c r="G57" s="47">
        <f t="shared" ref="G57:S57" si="7">SUM(G58:G65)</f>
        <v>26.980499999999999</v>
      </c>
      <c r="H57" s="47">
        <f t="shared" si="7"/>
        <v>23.279900000000005</v>
      </c>
      <c r="I57" s="47">
        <f t="shared" si="7"/>
        <v>454.24939999999998</v>
      </c>
      <c r="J57" s="47">
        <f t="shared" si="7"/>
        <v>1079.865</v>
      </c>
      <c r="K57" s="47">
        <f t="shared" si="7"/>
        <v>43.219000000000001</v>
      </c>
      <c r="L57" s="47">
        <f t="shared" si="7"/>
        <v>64.668000000000006</v>
      </c>
      <c r="M57" s="47">
        <f t="shared" si="7"/>
        <v>263.99299999999999</v>
      </c>
      <c r="N57" s="47">
        <f t="shared" si="7"/>
        <v>3.8813999999999997</v>
      </c>
      <c r="O57" s="47">
        <f t="shared" si="7"/>
        <v>552.96</v>
      </c>
      <c r="P57" s="47">
        <f t="shared" si="7"/>
        <v>0.13198000000000001</v>
      </c>
      <c r="Q57" s="47">
        <f t="shared" si="7"/>
        <v>0.25363000000000002</v>
      </c>
      <c r="R57" s="47">
        <f t="shared" si="7"/>
        <v>11.43862</v>
      </c>
      <c r="S57" s="47">
        <f t="shared" si="7"/>
        <v>27.28</v>
      </c>
      <c r="T57" s="16"/>
      <c r="U57" s="16"/>
    </row>
    <row r="58" spans="1:21" x14ac:dyDescent="0.2">
      <c r="A58" s="6"/>
      <c r="B58" s="22" t="s">
        <v>114</v>
      </c>
      <c r="C58" s="22"/>
      <c r="D58" s="16">
        <v>172.8</v>
      </c>
      <c r="E58" s="16">
        <v>122.4</v>
      </c>
      <c r="F58" s="24">
        <f>21.3*E58/100</f>
        <v>26.071200000000005</v>
      </c>
      <c r="G58" s="24">
        <f>11*E58/100</f>
        <v>13.464</v>
      </c>
      <c r="H58" s="24">
        <v>0</v>
      </c>
      <c r="I58" s="24">
        <f>184.6*E58/100</f>
        <v>225.9504</v>
      </c>
      <c r="J58" s="24">
        <f>260*E58/100</f>
        <v>318.24</v>
      </c>
      <c r="K58" s="24">
        <f>16*E58/100</f>
        <v>19.584</v>
      </c>
      <c r="L58" s="24">
        <f>20*E58/100</f>
        <v>24.48</v>
      </c>
      <c r="M58" s="24">
        <f>140*E58/100</f>
        <v>171.36</v>
      </c>
      <c r="N58" s="24">
        <f>2*E58/100</f>
        <v>2.448</v>
      </c>
      <c r="O58" s="52">
        <f>40*E58/100</f>
        <v>48.96</v>
      </c>
      <c r="P58" s="24">
        <f>0.1*E58/100</f>
        <v>0.12240000000000002</v>
      </c>
      <c r="Q58" s="24">
        <f>0.2*E58/100</f>
        <v>0.24480000000000005</v>
      </c>
      <c r="R58" s="49">
        <f>7.83*E58/100</f>
        <v>9.5839200000000009</v>
      </c>
      <c r="S58" s="24">
        <v>0</v>
      </c>
      <c r="T58" s="16">
        <v>200</v>
      </c>
      <c r="U58" s="16">
        <f>D58*T58/1000</f>
        <v>34.56</v>
      </c>
    </row>
    <row r="59" spans="1:21" x14ac:dyDescent="0.2">
      <c r="A59" s="6"/>
      <c r="B59" s="22" t="s">
        <v>19</v>
      </c>
      <c r="C59" s="22"/>
      <c r="D59" s="16">
        <v>13</v>
      </c>
      <c r="E59" s="16">
        <v>13</v>
      </c>
      <c r="F59" s="16">
        <v>0</v>
      </c>
      <c r="G59" s="16">
        <f>99.9*E59/100</f>
        <v>12.987</v>
      </c>
      <c r="H59" s="16">
        <v>0</v>
      </c>
      <c r="I59" s="16">
        <f>899*E59/100</f>
        <v>116.87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61">
        <v>0</v>
      </c>
      <c r="P59" s="16">
        <v>0</v>
      </c>
      <c r="Q59" s="16">
        <v>0</v>
      </c>
      <c r="R59" s="18">
        <v>0</v>
      </c>
      <c r="S59" s="16">
        <v>0</v>
      </c>
      <c r="T59" s="16">
        <v>136.76</v>
      </c>
      <c r="U59" s="16">
        <f t="shared" ref="U59:U65" si="8">D59*T59/1000</f>
        <v>1.7778799999999999</v>
      </c>
    </row>
    <row r="60" spans="1:21" x14ac:dyDescent="0.2">
      <c r="A60" s="6"/>
      <c r="B60" s="22" t="s">
        <v>16</v>
      </c>
      <c r="C60" s="22"/>
      <c r="D60" s="16">
        <v>154</v>
      </c>
      <c r="E60" s="16">
        <v>115.2</v>
      </c>
      <c r="F60" s="24">
        <f>E60*2/100</f>
        <v>2.3040000000000003</v>
      </c>
      <c r="G60" s="24">
        <f>0.4*E60/100</f>
        <v>0.46080000000000004</v>
      </c>
      <c r="H60" s="24">
        <f>16.3*E60/100</f>
        <v>18.777600000000003</v>
      </c>
      <c r="I60" s="24">
        <f>77*E60/100</f>
        <v>88.703999999999994</v>
      </c>
      <c r="J60" s="24">
        <f>568*E60/100</f>
        <v>654.33600000000001</v>
      </c>
      <c r="K60" s="24">
        <f>10*E60/100</f>
        <v>11.52</v>
      </c>
      <c r="L60" s="24">
        <f>23*E60/100</f>
        <v>26.495999999999999</v>
      </c>
      <c r="M60" s="24">
        <f>58*E60/100</f>
        <v>66.816000000000003</v>
      </c>
      <c r="N60" s="24">
        <f>0.9*E60/100</f>
        <v>1.0368000000000002</v>
      </c>
      <c r="O60" s="52">
        <v>0</v>
      </c>
      <c r="P60" s="24">
        <v>0</v>
      </c>
      <c r="Q60" s="24">
        <v>0</v>
      </c>
      <c r="R60" s="49">
        <f>1.3*E60/100</f>
        <v>1.4976000000000003</v>
      </c>
      <c r="S60" s="24">
        <f>20*E60/100</f>
        <v>23.04</v>
      </c>
      <c r="T60" s="16">
        <v>35</v>
      </c>
      <c r="U60" s="16">
        <f t="shared" si="8"/>
        <v>5.39</v>
      </c>
    </row>
    <row r="61" spans="1:21" x14ac:dyDescent="0.2">
      <c r="A61" s="6"/>
      <c r="B61" s="22" t="s">
        <v>17</v>
      </c>
      <c r="C61" s="22"/>
      <c r="D61" s="16">
        <v>30</v>
      </c>
      <c r="E61" s="16">
        <v>24.5</v>
      </c>
      <c r="F61" s="24">
        <f>1.3*E61/100</f>
        <v>0.31850000000000001</v>
      </c>
      <c r="G61" s="24">
        <f>0.1*E61/100</f>
        <v>2.4500000000000001E-2</v>
      </c>
      <c r="H61" s="24">
        <f>6.9*E61/100</f>
        <v>1.6905000000000001</v>
      </c>
      <c r="I61" s="24">
        <f>35*E61/100</f>
        <v>8.5749999999999993</v>
      </c>
      <c r="J61" s="24">
        <f>200*E61/100</f>
        <v>49</v>
      </c>
      <c r="K61" s="24">
        <f>27*E61/100</f>
        <v>6.6150000000000002</v>
      </c>
      <c r="L61" s="24">
        <f>38*E61/100</f>
        <v>9.31</v>
      </c>
      <c r="M61" s="24">
        <f>55*E61/100</f>
        <v>13.475</v>
      </c>
      <c r="N61" s="24">
        <f>0.7*E61/100</f>
        <v>0.17149999999999999</v>
      </c>
      <c r="O61" s="52">
        <v>504</v>
      </c>
      <c r="P61" s="24">
        <v>0</v>
      </c>
      <c r="Q61" s="24">
        <v>0</v>
      </c>
      <c r="R61" s="49">
        <f>1*E61/100</f>
        <v>0.245</v>
      </c>
      <c r="S61" s="24">
        <f>5*E61/100</f>
        <v>1.2250000000000001</v>
      </c>
      <c r="T61" s="16">
        <v>35</v>
      </c>
      <c r="U61" s="16">
        <f t="shared" si="8"/>
        <v>1.05</v>
      </c>
    </row>
    <row r="62" spans="1:21" x14ac:dyDescent="0.2">
      <c r="A62" s="6"/>
      <c r="B62" s="22" t="s">
        <v>21</v>
      </c>
      <c r="C62" s="22"/>
      <c r="D62" s="16">
        <v>3.5</v>
      </c>
      <c r="E62" s="16">
        <v>3.5</v>
      </c>
      <c r="F62" s="24">
        <f>4.8*E62/100</f>
        <v>0.16800000000000001</v>
      </c>
      <c r="G62" s="24">
        <v>0</v>
      </c>
      <c r="H62" s="24">
        <f>19*E62/100</f>
        <v>0.66500000000000004</v>
      </c>
      <c r="I62" s="24">
        <f>102*E62/100</f>
        <v>3.57</v>
      </c>
      <c r="J62" s="24">
        <f>875*E62/100</f>
        <v>30.625</v>
      </c>
      <c r="K62" s="24">
        <f>20*E62/100</f>
        <v>0.7</v>
      </c>
      <c r="L62" s="24">
        <f>50*E62/100</f>
        <v>1.75</v>
      </c>
      <c r="M62" s="24">
        <f>68*E62/100</f>
        <v>2.38</v>
      </c>
      <c r="N62" s="24">
        <f>2.3*E62/100</f>
        <v>8.0499999999999988E-2</v>
      </c>
      <c r="O62" s="52">
        <v>0</v>
      </c>
      <c r="P62" s="24">
        <v>0</v>
      </c>
      <c r="Q62" s="24">
        <f>0.17*E62/100</f>
        <v>5.9500000000000004E-3</v>
      </c>
      <c r="R62" s="49">
        <f>1.9*E62/100</f>
        <v>6.649999999999999E-2</v>
      </c>
      <c r="S62" s="24">
        <f>45*E62/100</f>
        <v>1.575</v>
      </c>
      <c r="T62" s="16">
        <v>190</v>
      </c>
      <c r="U62" s="16">
        <f t="shared" si="8"/>
        <v>0.66500000000000004</v>
      </c>
    </row>
    <row r="63" spans="1:21" x14ac:dyDescent="0.2">
      <c r="A63" s="6"/>
      <c r="B63" s="22" t="s">
        <v>18</v>
      </c>
      <c r="C63" s="22"/>
      <c r="D63" s="16">
        <v>17.3</v>
      </c>
      <c r="E63" s="16">
        <v>14.4</v>
      </c>
      <c r="F63" s="35">
        <f>1.4*E63/100</f>
        <v>0.2016</v>
      </c>
      <c r="G63" s="35">
        <f>0.2*E63/100</f>
        <v>2.8800000000000003E-2</v>
      </c>
      <c r="H63" s="35">
        <f>8.2*E63/100</f>
        <v>1.1808000000000001</v>
      </c>
      <c r="I63" s="35">
        <f>41*E63/100</f>
        <v>5.9039999999999999</v>
      </c>
      <c r="J63" s="35">
        <f>175*E63/100</f>
        <v>25.2</v>
      </c>
      <c r="K63" s="35">
        <f>31*E63/100</f>
        <v>4.4640000000000004</v>
      </c>
      <c r="L63" s="35">
        <f>14*E63/100</f>
        <v>2.016</v>
      </c>
      <c r="M63" s="35">
        <f>58*E63/100</f>
        <v>8.3520000000000003</v>
      </c>
      <c r="N63" s="35">
        <f>0.8*E63/100</f>
        <v>0.11520000000000001</v>
      </c>
      <c r="O63" s="66">
        <v>0</v>
      </c>
      <c r="P63" s="35">
        <f>0.05*E63/100</f>
        <v>7.2000000000000007E-3</v>
      </c>
      <c r="Q63" s="35">
        <f>0.02*E63/100</f>
        <v>2.8800000000000002E-3</v>
      </c>
      <c r="R63" s="36">
        <f>0.2*E63/100</f>
        <v>2.8800000000000003E-2</v>
      </c>
      <c r="S63" s="24">
        <f>10*E63/100</f>
        <v>1.44</v>
      </c>
      <c r="T63" s="16">
        <v>35</v>
      </c>
      <c r="U63" s="16">
        <f t="shared" si="8"/>
        <v>0.60550000000000004</v>
      </c>
    </row>
    <row r="64" spans="1:21" x14ac:dyDescent="0.2">
      <c r="A64" s="6"/>
      <c r="B64" s="22" t="s">
        <v>115</v>
      </c>
      <c r="C64" s="22"/>
      <c r="D64" s="16">
        <v>1.4</v>
      </c>
      <c r="E64" s="16">
        <v>1.4</v>
      </c>
      <c r="F64" s="24">
        <f>10.3*E64/100</f>
        <v>0.14419999999999999</v>
      </c>
      <c r="G64" s="24">
        <f>1.1*E64/100</f>
        <v>1.54E-2</v>
      </c>
      <c r="H64" s="24">
        <f>69*E64/100</f>
        <v>0.96599999999999997</v>
      </c>
      <c r="I64" s="24">
        <f>334*E64/100</f>
        <v>4.6759999999999993</v>
      </c>
      <c r="J64" s="24">
        <f>176*E64/100</f>
        <v>2.464</v>
      </c>
      <c r="K64" s="24">
        <f>24*E64/100</f>
        <v>0.33599999999999997</v>
      </c>
      <c r="L64" s="24">
        <f>44*E64/100</f>
        <v>0.61599999999999999</v>
      </c>
      <c r="M64" s="24">
        <f>115*E64/100</f>
        <v>1.61</v>
      </c>
      <c r="N64" s="24">
        <f>2.1*E64/100</f>
        <v>2.9399999999999999E-2</v>
      </c>
      <c r="O64" s="52">
        <v>0</v>
      </c>
      <c r="P64" s="24">
        <f>0.17*E64/100</f>
        <v>2.3799999999999997E-3</v>
      </c>
      <c r="Q64" s="24">
        <v>0</v>
      </c>
      <c r="R64" s="49">
        <f>1.2*E64/100</f>
        <v>1.6799999999999999E-2</v>
      </c>
      <c r="S64" s="24">
        <v>0</v>
      </c>
      <c r="T64" s="16">
        <v>52.04</v>
      </c>
      <c r="U64" s="16">
        <f t="shared" si="8"/>
        <v>7.285599999999999E-2</v>
      </c>
    </row>
    <row r="65" spans="1:21" x14ac:dyDescent="0.2">
      <c r="A65" s="6"/>
      <c r="B65" s="22" t="s">
        <v>24</v>
      </c>
      <c r="C65" s="22"/>
      <c r="D65" s="16">
        <v>4.3</v>
      </c>
      <c r="E65" s="16">
        <v>4.3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61">
        <v>0</v>
      </c>
      <c r="P65" s="16">
        <v>0</v>
      </c>
      <c r="Q65" s="16">
        <v>0</v>
      </c>
      <c r="R65" s="18">
        <v>0</v>
      </c>
      <c r="S65" s="16">
        <v>0</v>
      </c>
      <c r="T65" s="16">
        <v>20.87</v>
      </c>
      <c r="U65" s="16">
        <f t="shared" si="8"/>
        <v>8.9741000000000001E-2</v>
      </c>
    </row>
    <row r="66" spans="1:21" x14ac:dyDescent="0.2">
      <c r="A66" s="6"/>
      <c r="B66" s="28" t="s">
        <v>25</v>
      </c>
      <c r="C66" s="22"/>
      <c r="D66" s="16"/>
      <c r="E66" s="16"/>
      <c r="F66" s="24"/>
      <c r="G66" s="24"/>
      <c r="H66" s="24"/>
      <c r="I66" s="24"/>
      <c r="J66" s="24"/>
      <c r="K66" s="24"/>
      <c r="L66" s="24"/>
      <c r="M66" s="24"/>
      <c r="N66" s="24"/>
      <c r="O66" s="52"/>
      <c r="P66" s="24"/>
      <c r="Q66" s="24"/>
      <c r="R66" s="49"/>
      <c r="S66" s="24"/>
      <c r="T66" s="16"/>
      <c r="U66" s="32">
        <f>SUM(U58:U65)</f>
        <v>44.210977</v>
      </c>
    </row>
    <row r="67" spans="1:21" ht="25.5" x14ac:dyDescent="0.2">
      <c r="A67" s="74" t="s">
        <v>106</v>
      </c>
      <c r="B67" s="72" t="s">
        <v>107</v>
      </c>
      <c r="C67" s="4">
        <v>50</v>
      </c>
      <c r="D67" s="16"/>
      <c r="E67" s="4"/>
      <c r="F67" s="4">
        <v>5.76</v>
      </c>
      <c r="G67" s="4">
        <v>8.85</v>
      </c>
      <c r="H67" s="4">
        <v>14.9</v>
      </c>
      <c r="I67" s="4">
        <v>165.7</v>
      </c>
      <c r="J67" s="4">
        <f t="shared" ref="J67:S67" si="9">J68+J69+J70</f>
        <v>58.75</v>
      </c>
      <c r="K67" s="4">
        <f t="shared" si="9"/>
        <v>164.9</v>
      </c>
      <c r="L67" s="4">
        <f t="shared" si="9"/>
        <v>10.65</v>
      </c>
      <c r="M67" s="4">
        <f t="shared" si="9"/>
        <v>107.44999999999999</v>
      </c>
      <c r="N67" s="4">
        <f t="shared" si="9"/>
        <v>0.49</v>
      </c>
      <c r="O67" s="4">
        <f t="shared" si="9"/>
        <v>5.6500000000000002E-2</v>
      </c>
      <c r="P67" s="4">
        <f t="shared" si="9"/>
        <v>0</v>
      </c>
      <c r="Q67" s="4">
        <f t="shared" si="9"/>
        <v>5.7000000000000002E-2</v>
      </c>
      <c r="R67" s="21">
        <f t="shared" si="9"/>
        <v>0.52200000000000002</v>
      </c>
      <c r="S67" s="4">
        <f t="shared" si="9"/>
        <v>0.42</v>
      </c>
      <c r="T67" s="16"/>
      <c r="U67" s="24"/>
    </row>
    <row r="68" spans="1:21" x14ac:dyDescent="0.2">
      <c r="A68" s="4"/>
      <c r="B68" s="27" t="s">
        <v>108</v>
      </c>
      <c r="C68" s="16"/>
      <c r="D68" s="16">
        <v>16</v>
      </c>
      <c r="E68" s="16">
        <v>15</v>
      </c>
      <c r="F68" s="16">
        <f>23*E68/100</f>
        <v>3.45</v>
      </c>
      <c r="G68" s="16">
        <f>29*E68/100</f>
        <v>4.3499999999999996</v>
      </c>
      <c r="H68" s="16">
        <v>0</v>
      </c>
      <c r="I68" s="16">
        <f>360*E68/100</f>
        <v>54</v>
      </c>
      <c r="J68" s="25">
        <f>130*E68/100</f>
        <v>19.5</v>
      </c>
      <c r="K68" s="16">
        <f>1040*E68/100</f>
        <v>156</v>
      </c>
      <c r="L68" s="16">
        <v>0</v>
      </c>
      <c r="M68" s="16">
        <f>544*E68/100</f>
        <v>81.599999999999994</v>
      </c>
      <c r="N68" s="16">
        <v>0</v>
      </c>
      <c r="O68" s="16">
        <f>0.21*E68/100</f>
        <v>3.15E-2</v>
      </c>
      <c r="P68" s="16">
        <v>0</v>
      </c>
      <c r="Q68" s="16">
        <f>0.38*E68/100</f>
        <v>5.7000000000000002E-2</v>
      </c>
      <c r="R68" s="18">
        <f>0.4*E68/100</f>
        <v>0.06</v>
      </c>
      <c r="S68" s="16">
        <f>2.8*E68/100</f>
        <v>0.42</v>
      </c>
      <c r="T68" s="16">
        <v>740</v>
      </c>
      <c r="U68" s="24">
        <f>D68*T68/1000</f>
        <v>11.84</v>
      </c>
    </row>
    <row r="69" spans="1:21" x14ac:dyDescent="0.2">
      <c r="A69" s="4"/>
      <c r="B69" s="43" t="s">
        <v>22</v>
      </c>
      <c r="C69" s="22"/>
      <c r="D69" s="16">
        <v>5</v>
      </c>
      <c r="E69" s="16">
        <v>5</v>
      </c>
      <c r="F69" s="16">
        <f>0.8*D69/100</f>
        <v>0.04</v>
      </c>
      <c r="G69" s="16">
        <f>72.5*D69/100</f>
        <v>3.625</v>
      </c>
      <c r="H69" s="16">
        <f>1.3*D69/100</f>
        <v>6.5000000000000002E-2</v>
      </c>
      <c r="I69" s="16">
        <f>661*D69/100</f>
        <v>33.049999999999997</v>
      </c>
      <c r="J69" s="26">
        <f>23*D69/100</f>
        <v>1.1499999999999999</v>
      </c>
      <c r="K69" s="16">
        <f>22*D69/100</f>
        <v>1.1000000000000001</v>
      </c>
      <c r="L69" s="26">
        <f>3*D69/100</f>
        <v>0.15</v>
      </c>
      <c r="M69" s="16">
        <f>19*E69/100</f>
        <v>0.95</v>
      </c>
      <c r="N69" s="16">
        <f>0.2*E69/100</f>
        <v>0.01</v>
      </c>
      <c r="O69" s="16">
        <f>0.5*E69/100</f>
        <v>2.5000000000000001E-2</v>
      </c>
      <c r="P69" s="16">
        <v>0</v>
      </c>
      <c r="Q69" s="16">
        <v>0</v>
      </c>
      <c r="R69" s="18">
        <v>0</v>
      </c>
      <c r="S69" s="16">
        <v>0</v>
      </c>
      <c r="T69" s="16">
        <v>800</v>
      </c>
      <c r="U69" s="24">
        <f>D69*T69/1000</f>
        <v>4</v>
      </c>
    </row>
    <row r="70" spans="1:21" x14ac:dyDescent="0.2">
      <c r="A70" s="4"/>
      <c r="B70" s="27" t="s">
        <v>109</v>
      </c>
      <c r="C70" s="16"/>
      <c r="D70" s="16">
        <v>30</v>
      </c>
      <c r="E70" s="16">
        <v>30</v>
      </c>
      <c r="F70" s="16">
        <f>7.7*E70/100</f>
        <v>2.31</v>
      </c>
      <c r="G70" s="16">
        <f>3*E70/100</f>
        <v>0.9</v>
      </c>
      <c r="H70" s="16">
        <f>49.8*E70/100</f>
        <v>14.94</v>
      </c>
      <c r="I70" s="16">
        <f>262*E70/100</f>
        <v>78.599999999999994</v>
      </c>
      <c r="J70" s="16">
        <f>127*E70/100</f>
        <v>38.1</v>
      </c>
      <c r="K70" s="16">
        <f>26*E70/100</f>
        <v>7.8</v>
      </c>
      <c r="L70" s="16">
        <f>35*E70/100</f>
        <v>10.5</v>
      </c>
      <c r="M70" s="16">
        <f>83*E70/100</f>
        <v>24.9</v>
      </c>
      <c r="N70" s="16">
        <f>1.6*E70/100</f>
        <v>0.48</v>
      </c>
      <c r="O70" s="16">
        <v>0</v>
      </c>
      <c r="P70" s="16">
        <v>0</v>
      </c>
      <c r="Q70" s="16">
        <v>0</v>
      </c>
      <c r="R70" s="18">
        <f>1.54*E70/100</f>
        <v>0.46200000000000002</v>
      </c>
      <c r="S70" s="16">
        <v>0</v>
      </c>
      <c r="T70" s="16">
        <v>50</v>
      </c>
      <c r="U70" s="24">
        <f>D70*T70/1000</f>
        <v>1.5</v>
      </c>
    </row>
    <row r="71" spans="1:21" x14ac:dyDescent="0.2">
      <c r="A71" s="71"/>
      <c r="B71" s="28" t="s">
        <v>25</v>
      </c>
      <c r="C71" s="28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61"/>
      <c r="P71" s="16"/>
      <c r="Q71" s="16"/>
      <c r="R71" s="18"/>
      <c r="S71" s="16"/>
      <c r="T71" s="16"/>
      <c r="U71" s="32">
        <f>SUM(U68:U70)</f>
        <v>17.34</v>
      </c>
    </row>
    <row r="72" spans="1:21" x14ac:dyDescent="0.2">
      <c r="A72" s="4" t="s">
        <v>93</v>
      </c>
      <c r="B72" s="19" t="s">
        <v>94</v>
      </c>
      <c r="C72" s="19">
        <v>200</v>
      </c>
      <c r="D72" s="16"/>
      <c r="E72" s="4"/>
      <c r="F72" s="47">
        <f>F73+F74+F75+F76</f>
        <v>0.44</v>
      </c>
      <c r="G72" s="47">
        <f t="shared" ref="G72:S72" si="10">G73+G74+G75+G76</f>
        <v>0</v>
      </c>
      <c r="H72" s="47">
        <f t="shared" si="10"/>
        <v>31.76</v>
      </c>
      <c r="I72" s="47">
        <f t="shared" si="10"/>
        <v>126.4</v>
      </c>
      <c r="J72" s="47">
        <f t="shared" si="10"/>
        <v>0.6</v>
      </c>
      <c r="K72" s="47">
        <f t="shared" si="10"/>
        <v>0.60000000000000009</v>
      </c>
      <c r="L72" s="47">
        <f t="shared" si="10"/>
        <v>0</v>
      </c>
      <c r="M72" s="47">
        <f t="shared" si="10"/>
        <v>0</v>
      </c>
      <c r="N72" s="47">
        <f t="shared" si="10"/>
        <v>0.03</v>
      </c>
      <c r="O72" s="65">
        <f t="shared" si="10"/>
        <v>0</v>
      </c>
      <c r="P72" s="47">
        <f t="shared" si="10"/>
        <v>0</v>
      </c>
      <c r="Q72" s="47">
        <f t="shared" si="10"/>
        <v>0</v>
      </c>
      <c r="R72" s="47">
        <f t="shared" si="10"/>
        <v>0</v>
      </c>
      <c r="S72" s="47">
        <f t="shared" si="10"/>
        <v>0.24000000000000002</v>
      </c>
      <c r="T72" s="16"/>
      <c r="U72" s="16"/>
    </row>
    <row r="73" spans="1:21" x14ac:dyDescent="0.2">
      <c r="A73" s="4"/>
      <c r="B73" s="22" t="s">
        <v>95</v>
      </c>
      <c r="C73" s="22"/>
      <c r="D73" s="16">
        <v>20</v>
      </c>
      <c r="E73" s="16">
        <v>50</v>
      </c>
      <c r="F73" s="16">
        <f>2.2*D73/100</f>
        <v>0.44</v>
      </c>
      <c r="G73" s="16">
        <v>0</v>
      </c>
      <c r="H73" s="16">
        <f>59*D73/100</f>
        <v>11.8</v>
      </c>
      <c r="I73" s="16">
        <f>253*D73/100</f>
        <v>50.6</v>
      </c>
      <c r="J73" s="16">
        <v>0</v>
      </c>
      <c r="K73" s="16">
        <v>0.2</v>
      </c>
      <c r="L73" s="16">
        <v>0</v>
      </c>
      <c r="M73" s="16">
        <v>0</v>
      </c>
      <c r="N73" s="16">
        <v>0.03</v>
      </c>
      <c r="O73" s="61">
        <v>0</v>
      </c>
      <c r="P73" s="16">
        <v>0</v>
      </c>
      <c r="Q73" s="16">
        <v>0</v>
      </c>
      <c r="R73" s="18">
        <v>0</v>
      </c>
      <c r="S73" s="16">
        <v>0.04</v>
      </c>
      <c r="T73" s="16">
        <v>260</v>
      </c>
      <c r="U73" s="24">
        <f>D73*T73/1000</f>
        <v>5.2</v>
      </c>
    </row>
    <row r="74" spans="1:21" x14ac:dyDescent="0.2">
      <c r="A74" s="4"/>
      <c r="B74" s="22" t="s">
        <v>15</v>
      </c>
      <c r="C74" s="22"/>
      <c r="D74" s="16">
        <v>20</v>
      </c>
      <c r="E74" s="16">
        <v>20</v>
      </c>
      <c r="F74" s="24">
        <v>0</v>
      </c>
      <c r="G74" s="24">
        <v>0</v>
      </c>
      <c r="H74" s="24">
        <f>99.8*E74/100</f>
        <v>19.96</v>
      </c>
      <c r="I74" s="24">
        <f>379*E74/100</f>
        <v>75.8</v>
      </c>
      <c r="J74" s="24">
        <f>3*E74/100</f>
        <v>0.6</v>
      </c>
      <c r="K74" s="24">
        <f>2*E74/100</f>
        <v>0.4</v>
      </c>
      <c r="L74" s="24">
        <v>0</v>
      </c>
      <c r="M74" s="24">
        <v>0</v>
      </c>
      <c r="N74" s="24">
        <v>0</v>
      </c>
      <c r="O74" s="52">
        <v>0</v>
      </c>
      <c r="P74" s="24">
        <v>0</v>
      </c>
      <c r="Q74" s="24">
        <v>0</v>
      </c>
      <c r="R74" s="49">
        <v>0</v>
      </c>
      <c r="S74" s="24">
        <v>0</v>
      </c>
      <c r="T74" s="16">
        <v>75.28</v>
      </c>
      <c r="U74" s="24">
        <f>D74*T74/1000</f>
        <v>1.5055999999999998</v>
      </c>
    </row>
    <row r="75" spans="1:21" x14ac:dyDescent="0.2">
      <c r="A75" s="4"/>
      <c r="B75" s="22" t="s">
        <v>20</v>
      </c>
      <c r="C75" s="22"/>
      <c r="D75" s="16">
        <v>200</v>
      </c>
      <c r="E75" s="16">
        <v>200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61">
        <v>0</v>
      </c>
      <c r="P75" s="16">
        <v>0</v>
      </c>
      <c r="Q75" s="16">
        <v>0</v>
      </c>
      <c r="R75" s="18">
        <v>0</v>
      </c>
      <c r="S75" s="16">
        <v>0</v>
      </c>
      <c r="T75" s="16">
        <v>0</v>
      </c>
      <c r="U75" s="24">
        <f>D75*T75/1000</f>
        <v>0</v>
      </c>
    </row>
    <row r="76" spans="1:21" x14ac:dyDescent="0.2">
      <c r="A76" s="4"/>
      <c r="B76" s="22" t="s">
        <v>96</v>
      </c>
      <c r="C76" s="22"/>
      <c r="D76" s="16">
        <v>0.2</v>
      </c>
      <c r="E76" s="16">
        <v>0.2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61">
        <v>0</v>
      </c>
      <c r="P76" s="16">
        <v>0</v>
      </c>
      <c r="Q76" s="16">
        <v>0</v>
      </c>
      <c r="R76" s="18">
        <v>0</v>
      </c>
      <c r="S76" s="16">
        <v>0.2</v>
      </c>
      <c r="T76" s="16">
        <v>350</v>
      </c>
      <c r="U76" s="24">
        <f>D76*T76/1000</f>
        <v>7.0000000000000007E-2</v>
      </c>
    </row>
    <row r="77" spans="1:21" x14ac:dyDescent="0.2">
      <c r="A77" s="4"/>
      <c r="B77" s="28" t="s">
        <v>25</v>
      </c>
      <c r="C77" s="28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61"/>
      <c r="P77" s="16"/>
      <c r="Q77" s="16"/>
      <c r="R77" s="18"/>
      <c r="S77" s="16"/>
      <c r="T77" s="16"/>
      <c r="U77" s="32">
        <f>SUM(U73:U76)</f>
        <v>6.7756000000000007</v>
      </c>
    </row>
    <row r="78" spans="1:21" x14ac:dyDescent="0.2">
      <c r="A78" s="71" t="s">
        <v>11</v>
      </c>
      <c r="B78" s="19" t="s">
        <v>1</v>
      </c>
      <c r="C78" s="19">
        <v>20</v>
      </c>
      <c r="D78" s="16">
        <v>20</v>
      </c>
      <c r="E78" s="16">
        <v>20</v>
      </c>
      <c r="F78" s="4">
        <f>7.7*E78/100</f>
        <v>1.54</v>
      </c>
      <c r="G78" s="4">
        <v>1.6</v>
      </c>
      <c r="H78" s="4">
        <f>49.8*E78/100</f>
        <v>9.9600000000000009</v>
      </c>
      <c r="I78" s="4">
        <f>262*E78/100</f>
        <v>52.4</v>
      </c>
      <c r="J78" s="4">
        <f>127*E78/100</f>
        <v>25.4</v>
      </c>
      <c r="K78" s="4">
        <f>26*E78/100</f>
        <v>5.2</v>
      </c>
      <c r="L78" s="4">
        <f>35*E78/100</f>
        <v>7</v>
      </c>
      <c r="M78" s="4">
        <f>83*E78/100</f>
        <v>16.600000000000001</v>
      </c>
      <c r="N78" s="4">
        <f>1.6*E78/100</f>
        <v>0.32</v>
      </c>
      <c r="O78" s="64">
        <v>0</v>
      </c>
      <c r="P78" s="4">
        <f>0.16*E78/100</f>
        <v>3.2000000000000001E-2</v>
      </c>
      <c r="Q78" s="4">
        <f>0.08*E78/100</f>
        <v>1.6E-2</v>
      </c>
      <c r="R78" s="21">
        <f>1.54*E78/100</f>
        <v>0.308</v>
      </c>
      <c r="S78" s="4">
        <v>0</v>
      </c>
      <c r="T78" s="16">
        <v>50</v>
      </c>
      <c r="U78" s="32">
        <f>E78*T78/1000</f>
        <v>1</v>
      </c>
    </row>
    <row r="79" spans="1:21" x14ac:dyDescent="0.2">
      <c r="A79" s="4" t="s">
        <v>98</v>
      </c>
      <c r="B79" s="19" t="s">
        <v>99</v>
      </c>
      <c r="C79" s="19">
        <v>50</v>
      </c>
      <c r="D79" s="16">
        <v>50</v>
      </c>
      <c r="E79" s="16">
        <v>50</v>
      </c>
      <c r="F79" s="4">
        <f>6.6*E79/100</f>
        <v>3.3</v>
      </c>
      <c r="G79" s="4">
        <f>1.2*E79/100</f>
        <v>0.6</v>
      </c>
      <c r="H79" s="4">
        <f>34.2*E79/100</f>
        <v>17.100000000000001</v>
      </c>
      <c r="I79" s="4">
        <f>181*E79/100</f>
        <v>90.5</v>
      </c>
      <c r="J79" s="4">
        <f>94*E79/100</f>
        <v>47</v>
      </c>
      <c r="K79" s="4">
        <f>34*E79/100</f>
        <v>17</v>
      </c>
      <c r="L79" s="4">
        <f>41*E79/100</f>
        <v>20.5</v>
      </c>
      <c r="M79" s="4">
        <f>120*E79/100</f>
        <v>60</v>
      </c>
      <c r="N79" s="4">
        <f>2.3*E79/100</f>
        <v>1.1499999999999999</v>
      </c>
      <c r="O79" s="64">
        <v>0</v>
      </c>
      <c r="P79" s="4">
        <v>0</v>
      </c>
      <c r="Q79" s="4">
        <v>0</v>
      </c>
      <c r="R79" s="21">
        <v>0</v>
      </c>
      <c r="S79" s="4">
        <v>0</v>
      </c>
      <c r="T79" s="16">
        <v>60</v>
      </c>
      <c r="U79" s="32">
        <f>E79*T79/1000</f>
        <v>3</v>
      </c>
    </row>
    <row r="80" spans="1:21" ht="21.75" customHeight="1" x14ac:dyDescent="0.2">
      <c r="A80" s="6" t="s">
        <v>104</v>
      </c>
      <c r="B80" s="39" t="s">
        <v>105</v>
      </c>
      <c r="C80" s="4">
        <v>60</v>
      </c>
      <c r="D80" s="16">
        <v>63.6</v>
      </c>
      <c r="E80" s="16">
        <v>60</v>
      </c>
      <c r="F80" s="4">
        <v>0.48</v>
      </c>
      <c r="G80" s="4">
        <v>0.06</v>
      </c>
      <c r="H80" s="4">
        <v>1.5</v>
      </c>
      <c r="I80" s="4">
        <v>8.4</v>
      </c>
      <c r="J80" s="4">
        <v>84.6</v>
      </c>
      <c r="K80" s="4">
        <v>13.8</v>
      </c>
      <c r="L80" s="4">
        <v>8.4</v>
      </c>
      <c r="M80" s="4">
        <v>25.2</v>
      </c>
      <c r="N80" s="4">
        <v>0.36</v>
      </c>
      <c r="O80" s="64">
        <v>6</v>
      </c>
      <c r="P80" s="4">
        <v>1.7999999999999999E-2</v>
      </c>
      <c r="Q80" s="4">
        <v>2.4E-2</v>
      </c>
      <c r="R80" s="21">
        <v>0.12</v>
      </c>
      <c r="S80" s="4">
        <v>6</v>
      </c>
      <c r="T80" s="16">
        <v>50</v>
      </c>
      <c r="U80" s="32">
        <f>D80*T80/1000</f>
        <v>3.18</v>
      </c>
    </row>
    <row r="81" spans="1:21" x14ac:dyDescent="0.2">
      <c r="A81" s="6" t="s">
        <v>11</v>
      </c>
      <c r="B81" s="19" t="s">
        <v>103</v>
      </c>
      <c r="C81" s="19">
        <v>180</v>
      </c>
      <c r="D81" s="41" t="s">
        <v>26</v>
      </c>
      <c r="E81" s="16">
        <v>180</v>
      </c>
      <c r="F81" s="4">
        <v>1.6</v>
      </c>
      <c r="G81" s="4">
        <v>0.4</v>
      </c>
      <c r="H81" s="4">
        <v>15</v>
      </c>
      <c r="I81" s="4">
        <v>76</v>
      </c>
      <c r="J81" s="4">
        <v>310</v>
      </c>
      <c r="K81" s="4">
        <v>70</v>
      </c>
      <c r="L81" s="4">
        <v>22</v>
      </c>
      <c r="M81" s="4">
        <v>34</v>
      </c>
      <c r="N81" s="4">
        <v>0.2</v>
      </c>
      <c r="O81" s="64">
        <v>20</v>
      </c>
      <c r="P81" s="4">
        <v>0.12</v>
      </c>
      <c r="Q81" s="4">
        <v>0.06</v>
      </c>
      <c r="R81" s="21">
        <v>0.6</v>
      </c>
      <c r="S81" s="4">
        <v>76</v>
      </c>
      <c r="T81" s="16">
        <v>110</v>
      </c>
      <c r="U81" s="32">
        <f>C81*T81/1000</f>
        <v>19.8</v>
      </c>
    </row>
    <row r="82" spans="1:21" x14ac:dyDescent="0.2">
      <c r="A82" s="6"/>
      <c r="B82" s="4" t="s">
        <v>12</v>
      </c>
      <c r="C82" s="82">
        <f>C57+C67+C72+C78+C79+C80+C81</f>
        <v>830</v>
      </c>
      <c r="D82" s="16"/>
      <c r="E82" s="16"/>
      <c r="F82" s="82">
        <f t="shared" ref="F82:S82" si="11">F57+F67+F72+F78+F79+F80+F81</f>
        <v>42.327500000000001</v>
      </c>
      <c r="G82" s="82">
        <f t="shared" si="11"/>
        <v>38.490500000000004</v>
      </c>
      <c r="H82" s="82">
        <f t="shared" si="11"/>
        <v>113.4999</v>
      </c>
      <c r="I82" s="82">
        <f t="shared" si="11"/>
        <v>973.6493999999999</v>
      </c>
      <c r="J82" s="82">
        <f t="shared" si="11"/>
        <v>1606.2149999999999</v>
      </c>
      <c r="K82" s="82">
        <f t="shared" si="11"/>
        <v>314.71899999999999</v>
      </c>
      <c r="L82" s="82">
        <f t="shared" si="11"/>
        <v>133.21800000000002</v>
      </c>
      <c r="M82" s="82">
        <f t="shared" si="11"/>
        <v>507.24299999999999</v>
      </c>
      <c r="N82" s="82">
        <f t="shared" si="11"/>
        <v>6.4314</v>
      </c>
      <c r="O82" s="82">
        <f t="shared" si="11"/>
        <v>579.01650000000006</v>
      </c>
      <c r="P82" s="82">
        <f t="shared" si="11"/>
        <v>0.30198000000000003</v>
      </c>
      <c r="Q82" s="82">
        <f t="shared" si="11"/>
        <v>0.41063000000000005</v>
      </c>
      <c r="R82" s="82">
        <f t="shared" si="11"/>
        <v>12.988619999999999</v>
      </c>
      <c r="S82" s="82">
        <f t="shared" si="11"/>
        <v>109.94</v>
      </c>
      <c r="T82" s="16"/>
      <c r="U82" s="33">
        <f>U66+U71+U77+U78+U79+U80+U81</f>
        <v>95.306577000000004</v>
      </c>
    </row>
    <row r="83" spans="1:21" x14ac:dyDescent="0.2">
      <c r="A83" s="6"/>
      <c r="B83" s="4"/>
      <c r="C83" s="4"/>
      <c r="D83" s="16"/>
      <c r="E83" s="16"/>
      <c r="F83" s="47"/>
      <c r="G83" s="47"/>
      <c r="H83" s="47"/>
      <c r="I83" s="47"/>
      <c r="J83" s="47"/>
      <c r="K83" s="47"/>
      <c r="L83" s="47"/>
      <c r="M83" s="47"/>
      <c r="N83" s="47"/>
      <c r="O83" s="65"/>
      <c r="P83" s="47"/>
      <c r="Q83" s="47"/>
      <c r="R83" s="48"/>
      <c r="S83" s="47"/>
      <c r="T83" s="16"/>
      <c r="U83" s="52"/>
    </row>
    <row r="84" spans="1:21" x14ac:dyDescent="0.2">
      <c r="A84" s="6"/>
      <c r="B84" s="17" t="s">
        <v>78</v>
      </c>
      <c r="C84" s="17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61"/>
      <c r="P84" s="16"/>
      <c r="Q84" s="16"/>
      <c r="R84" s="18"/>
      <c r="S84" s="16"/>
      <c r="T84" s="16"/>
      <c r="U84" s="16"/>
    </row>
    <row r="85" spans="1:21" x14ac:dyDescent="0.2">
      <c r="A85" s="6"/>
      <c r="B85" s="17" t="s">
        <v>0</v>
      </c>
      <c r="C85" s="17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61"/>
      <c r="P85" s="16"/>
      <c r="Q85" s="16"/>
      <c r="R85" s="18"/>
      <c r="S85" s="16"/>
      <c r="T85" s="16"/>
      <c r="U85" s="16"/>
    </row>
    <row r="86" spans="1:21" ht="21" customHeight="1" x14ac:dyDescent="0.2">
      <c r="A86" s="19" t="s">
        <v>90</v>
      </c>
      <c r="B86" s="19" t="s">
        <v>117</v>
      </c>
      <c r="C86" s="19">
        <v>140</v>
      </c>
      <c r="D86" s="19"/>
      <c r="E86" s="19"/>
      <c r="F86" s="19">
        <f>F87+F88+F89+F90+F91+F92+F93+F94+F95</f>
        <v>19.747000000000003</v>
      </c>
      <c r="G86" s="19">
        <f t="shared" ref="G86:S86" si="12">G87+G88+G89+G90+G91+G92+G93+G94+G95</f>
        <v>6.0660000000000007</v>
      </c>
      <c r="H86" s="19">
        <f t="shared" si="12"/>
        <v>7.3380000000000001</v>
      </c>
      <c r="I86" s="19">
        <f t="shared" si="12"/>
        <v>164.72</v>
      </c>
      <c r="J86" s="19">
        <f t="shared" si="12"/>
        <v>631.25</v>
      </c>
      <c r="K86" s="19">
        <f t="shared" si="12"/>
        <v>71.09</v>
      </c>
      <c r="L86" s="19">
        <f t="shared" si="12"/>
        <v>80.510000000000005</v>
      </c>
      <c r="M86" s="19">
        <f t="shared" si="12"/>
        <v>312.12000000000006</v>
      </c>
      <c r="N86" s="19">
        <f t="shared" si="12"/>
        <v>1.492</v>
      </c>
      <c r="O86" s="19">
        <f t="shared" si="12"/>
        <v>2.92</v>
      </c>
      <c r="P86" s="19">
        <f t="shared" si="12"/>
        <v>0.02</v>
      </c>
      <c r="Q86" s="19">
        <f t="shared" si="12"/>
        <v>0.02</v>
      </c>
      <c r="R86" s="19">
        <f t="shared" si="12"/>
        <v>1.8970000000000002</v>
      </c>
      <c r="S86" s="19">
        <f t="shared" si="12"/>
        <v>4.95</v>
      </c>
      <c r="T86" s="22"/>
      <c r="U86" s="22"/>
    </row>
    <row r="87" spans="1:21" x14ac:dyDescent="0.2">
      <c r="A87" s="22"/>
      <c r="B87" s="22" t="s">
        <v>116</v>
      </c>
      <c r="C87" s="22"/>
      <c r="D87" s="22">
        <v>133</v>
      </c>
      <c r="E87" s="22">
        <v>119</v>
      </c>
      <c r="F87" s="22">
        <f>15.9*E87/100</f>
        <v>18.921000000000003</v>
      </c>
      <c r="G87" s="22">
        <f>0.9*E87/100</f>
        <v>1.0710000000000002</v>
      </c>
      <c r="H87" s="22">
        <v>0</v>
      </c>
      <c r="I87" s="22">
        <f>72*E87/100</f>
        <v>85.68</v>
      </c>
      <c r="J87" s="22">
        <f>420*E87/100</f>
        <v>499.8</v>
      </c>
      <c r="K87" s="22">
        <f>40*E87/100</f>
        <v>47.6</v>
      </c>
      <c r="L87" s="22">
        <f>55*E87/100</f>
        <v>65.45</v>
      </c>
      <c r="M87" s="22">
        <f>240*E87/100</f>
        <v>285.60000000000002</v>
      </c>
      <c r="N87" s="22">
        <f>0.8*E87/100</f>
        <v>0.95200000000000007</v>
      </c>
      <c r="O87" s="22">
        <v>0</v>
      </c>
      <c r="P87" s="22">
        <v>0</v>
      </c>
      <c r="Q87" s="22">
        <v>0</v>
      </c>
      <c r="R87" s="22">
        <f>1.3*E87/100</f>
        <v>1.5470000000000002</v>
      </c>
      <c r="S87" s="22">
        <v>0</v>
      </c>
      <c r="T87" s="22">
        <v>331</v>
      </c>
      <c r="U87" s="22">
        <f>D87*T87/1000</f>
        <v>44.023000000000003</v>
      </c>
    </row>
    <row r="88" spans="1:21" x14ac:dyDescent="0.2">
      <c r="A88" s="22"/>
      <c r="B88" s="22" t="s">
        <v>17</v>
      </c>
      <c r="C88" s="22"/>
      <c r="D88" s="22">
        <v>27</v>
      </c>
      <c r="E88" s="22">
        <v>21</v>
      </c>
      <c r="F88" s="22">
        <v>0.4</v>
      </c>
      <c r="G88" s="22">
        <v>0</v>
      </c>
      <c r="H88" s="22">
        <v>2.2999999999999998</v>
      </c>
      <c r="I88" s="22">
        <v>11.8</v>
      </c>
      <c r="J88" s="22">
        <v>63</v>
      </c>
      <c r="K88" s="22">
        <v>16</v>
      </c>
      <c r="L88" s="22">
        <v>12</v>
      </c>
      <c r="M88" s="22">
        <v>17.3</v>
      </c>
      <c r="N88" s="22">
        <v>0.4</v>
      </c>
      <c r="O88" s="22">
        <v>2.8</v>
      </c>
      <c r="P88" s="22">
        <v>0.02</v>
      </c>
      <c r="Q88" s="22">
        <v>0.02</v>
      </c>
      <c r="R88" s="22">
        <v>0.3</v>
      </c>
      <c r="S88" s="22">
        <v>1.35</v>
      </c>
      <c r="T88" s="22">
        <v>35</v>
      </c>
      <c r="U88" s="22">
        <f t="shared" ref="U88:U95" si="13">D88*T88/1000</f>
        <v>0.94499999999999995</v>
      </c>
    </row>
    <row r="89" spans="1:21" x14ac:dyDescent="0.2">
      <c r="A89" s="22"/>
      <c r="B89" s="22" t="s">
        <v>20</v>
      </c>
      <c r="C89" s="22"/>
      <c r="D89" s="22">
        <v>38</v>
      </c>
      <c r="E89" s="22">
        <v>38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f t="shared" si="13"/>
        <v>0</v>
      </c>
    </row>
    <row r="90" spans="1:21" x14ac:dyDescent="0.2">
      <c r="A90" s="22"/>
      <c r="B90" s="22" t="s">
        <v>18</v>
      </c>
      <c r="C90" s="22"/>
      <c r="D90" s="22">
        <v>12</v>
      </c>
      <c r="E90" s="22">
        <v>9</v>
      </c>
      <c r="F90" s="22">
        <f>1.4*E90/100</f>
        <v>0.126</v>
      </c>
      <c r="G90" s="22">
        <v>0</v>
      </c>
      <c r="H90" s="22">
        <f>8.2*E90/100</f>
        <v>0.73799999999999999</v>
      </c>
      <c r="I90" s="22">
        <f>41*E90/100</f>
        <v>3.69</v>
      </c>
      <c r="J90" s="22">
        <f>175*E90/100</f>
        <v>15.75</v>
      </c>
      <c r="K90" s="22">
        <f>31*E90/100</f>
        <v>2.79</v>
      </c>
      <c r="L90" s="22">
        <f>14*E90/100</f>
        <v>1.26</v>
      </c>
      <c r="M90" s="22">
        <f>58*E90/100</f>
        <v>5.22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f>10*E90/100</f>
        <v>0.9</v>
      </c>
      <c r="T90" s="22">
        <v>35</v>
      </c>
      <c r="U90" s="22">
        <f t="shared" si="13"/>
        <v>0.42</v>
      </c>
    </row>
    <row r="91" spans="1:21" x14ac:dyDescent="0.2">
      <c r="A91" s="22"/>
      <c r="B91" s="22" t="s">
        <v>19</v>
      </c>
      <c r="C91" s="22"/>
      <c r="D91" s="22">
        <v>5</v>
      </c>
      <c r="E91" s="22">
        <v>5</v>
      </c>
      <c r="F91" s="22">
        <v>0</v>
      </c>
      <c r="G91" s="22">
        <f>99.9*E91/100</f>
        <v>4.9950000000000001</v>
      </c>
      <c r="H91" s="22">
        <v>0</v>
      </c>
      <c r="I91" s="22">
        <f>899*E91/100</f>
        <v>44.95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136.76</v>
      </c>
      <c r="U91" s="22">
        <f t="shared" si="13"/>
        <v>0.68379999999999996</v>
      </c>
    </row>
    <row r="92" spans="1:21" x14ac:dyDescent="0.2">
      <c r="A92" s="22"/>
      <c r="B92" s="22" t="s">
        <v>118</v>
      </c>
      <c r="C92" s="22"/>
      <c r="D92" s="22">
        <v>2</v>
      </c>
      <c r="E92" s="22">
        <v>2</v>
      </c>
      <c r="F92" s="22">
        <v>0</v>
      </c>
      <c r="G92" s="22">
        <v>0</v>
      </c>
      <c r="H92" s="22">
        <v>3.1</v>
      </c>
      <c r="I92" s="22">
        <v>12.1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75.28</v>
      </c>
      <c r="U92" s="22">
        <f t="shared" si="13"/>
        <v>0.15056</v>
      </c>
    </row>
    <row r="93" spans="1:21" x14ac:dyDescent="0.2">
      <c r="A93" s="22"/>
      <c r="B93" s="22" t="s">
        <v>21</v>
      </c>
      <c r="C93" s="22"/>
      <c r="D93" s="22">
        <v>4</v>
      </c>
      <c r="E93" s="22">
        <v>4</v>
      </c>
      <c r="F93" s="22">
        <v>0.3</v>
      </c>
      <c r="G93" s="22">
        <v>0</v>
      </c>
      <c r="H93" s="22">
        <v>1.2</v>
      </c>
      <c r="I93" s="22">
        <v>6.5</v>
      </c>
      <c r="J93" s="22">
        <v>52.7</v>
      </c>
      <c r="K93" s="22">
        <v>4.7</v>
      </c>
      <c r="L93" s="22">
        <v>1.8</v>
      </c>
      <c r="M93" s="22">
        <v>4</v>
      </c>
      <c r="N93" s="22">
        <v>0.14000000000000001</v>
      </c>
      <c r="O93" s="22">
        <v>0.12</v>
      </c>
      <c r="P93" s="22">
        <v>0</v>
      </c>
      <c r="Q93" s="22">
        <v>0</v>
      </c>
      <c r="R93" s="22">
        <v>0.05</v>
      </c>
      <c r="S93" s="22">
        <v>2.7</v>
      </c>
      <c r="T93" s="22">
        <v>190</v>
      </c>
      <c r="U93" s="22">
        <f t="shared" si="13"/>
        <v>0.76</v>
      </c>
    </row>
    <row r="94" spans="1:21" x14ac:dyDescent="0.2">
      <c r="A94" s="22"/>
      <c r="B94" s="22" t="s">
        <v>24</v>
      </c>
      <c r="C94" s="22"/>
      <c r="D94" s="22">
        <v>2</v>
      </c>
      <c r="E94" s="22">
        <v>2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20.87</v>
      </c>
      <c r="U94" s="22">
        <f t="shared" si="13"/>
        <v>4.1739999999999999E-2</v>
      </c>
    </row>
    <row r="95" spans="1:21" x14ac:dyDescent="0.2">
      <c r="A95" s="22"/>
      <c r="B95" s="22" t="s">
        <v>23</v>
      </c>
      <c r="C95" s="22"/>
      <c r="D95" s="22">
        <v>0.01</v>
      </c>
      <c r="E95" s="22">
        <v>0.01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300</v>
      </c>
      <c r="U95" s="22">
        <f t="shared" si="13"/>
        <v>3.0000000000000001E-3</v>
      </c>
    </row>
    <row r="96" spans="1:21" x14ac:dyDescent="0.2">
      <c r="A96" s="22"/>
      <c r="B96" s="22" t="s">
        <v>25</v>
      </c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75">
        <f>SUM(U87:U95)</f>
        <v>47.027099999999997</v>
      </c>
    </row>
    <row r="97" spans="1:21" x14ac:dyDescent="0.2">
      <c r="A97" s="19" t="s">
        <v>29</v>
      </c>
      <c r="B97" s="19" t="s">
        <v>30</v>
      </c>
      <c r="C97" s="19">
        <v>180</v>
      </c>
      <c r="D97" s="19"/>
      <c r="E97" s="19"/>
      <c r="F97" s="19">
        <f>F98+F99+F100+F101</f>
        <v>3.8919999999999999</v>
      </c>
      <c r="G97" s="19">
        <f t="shared" ref="G97:S97" si="14">G98+G99+G100+G101</f>
        <v>6.5549999999999997</v>
      </c>
      <c r="H97" s="19">
        <f t="shared" si="14"/>
        <v>26.462000000000003</v>
      </c>
      <c r="I97" s="19">
        <f t="shared" si="14"/>
        <v>180.51</v>
      </c>
      <c r="J97" s="19">
        <f t="shared" si="14"/>
        <v>915.75</v>
      </c>
      <c r="K97" s="19">
        <f t="shared" si="14"/>
        <v>49.34</v>
      </c>
      <c r="L97" s="19">
        <f t="shared" si="14"/>
        <v>39.410000000000004</v>
      </c>
      <c r="M97" s="19">
        <f t="shared" si="14"/>
        <v>114.94999999999999</v>
      </c>
      <c r="N97" s="19">
        <f t="shared" si="14"/>
        <v>1.4</v>
      </c>
      <c r="O97" s="19">
        <f t="shared" si="14"/>
        <v>3.5000000000000003E-2</v>
      </c>
      <c r="P97" s="19">
        <f t="shared" si="14"/>
        <v>0</v>
      </c>
      <c r="Q97" s="19">
        <f t="shared" si="14"/>
        <v>0</v>
      </c>
      <c r="R97" s="19">
        <f t="shared" si="14"/>
        <v>2.0020000000000002</v>
      </c>
      <c r="S97" s="19">
        <f t="shared" si="14"/>
        <v>31.151</v>
      </c>
      <c r="T97" s="19"/>
      <c r="U97" s="22"/>
    </row>
    <row r="98" spans="1:21" x14ac:dyDescent="0.2">
      <c r="A98" s="22"/>
      <c r="B98" s="22" t="s">
        <v>16</v>
      </c>
      <c r="C98" s="22"/>
      <c r="D98" s="22">
        <v>205</v>
      </c>
      <c r="E98" s="22">
        <v>154</v>
      </c>
      <c r="F98" s="22">
        <f>E98*2/100</f>
        <v>3.08</v>
      </c>
      <c r="G98" s="22">
        <f>0.4*E98/100</f>
        <v>0.61599999999999999</v>
      </c>
      <c r="H98" s="22">
        <f>16.3*E98/100</f>
        <v>25.102000000000004</v>
      </c>
      <c r="I98" s="22">
        <f>77*E98/100</f>
        <v>118.58</v>
      </c>
      <c r="J98" s="22">
        <f>568*E98/100</f>
        <v>874.72</v>
      </c>
      <c r="K98" s="22">
        <f>10*E98/100</f>
        <v>15.4</v>
      </c>
      <c r="L98" s="22">
        <f>23*E98/100</f>
        <v>35.42</v>
      </c>
      <c r="M98" s="22">
        <f>58*E98/100</f>
        <v>89.32</v>
      </c>
      <c r="N98" s="22">
        <f>0.9*E98/100</f>
        <v>1.3859999999999999</v>
      </c>
      <c r="O98" s="22">
        <v>0</v>
      </c>
      <c r="P98" s="22">
        <v>0</v>
      </c>
      <c r="Q98" s="22">
        <v>0</v>
      </c>
      <c r="R98" s="22">
        <f>1.3*E98/100</f>
        <v>2.0020000000000002</v>
      </c>
      <c r="S98" s="22">
        <f>20*E98/100</f>
        <v>30.8</v>
      </c>
      <c r="T98" s="22">
        <v>35</v>
      </c>
      <c r="U98" s="22">
        <f>D98*T98/1000</f>
        <v>7.1749999999999998</v>
      </c>
    </row>
    <row r="99" spans="1:21" x14ac:dyDescent="0.2">
      <c r="A99" s="22"/>
      <c r="B99" s="22" t="s">
        <v>22</v>
      </c>
      <c r="C99" s="22"/>
      <c r="D99" s="22">
        <v>7</v>
      </c>
      <c r="E99" s="22">
        <v>7</v>
      </c>
      <c r="F99" s="16">
        <f>0.8*D99/100</f>
        <v>5.6000000000000008E-2</v>
      </c>
      <c r="G99" s="16">
        <f>72.5*D99/100</f>
        <v>5.0750000000000002</v>
      </c>
      <c r="H99" s="16">
        <f>1.3*D99/100</f>
        <v>9.0999999999999998E-2</v>
      </c>
      <c r="I99" s="16">
        <f>661*D99/100</f>
        <v>46.27</v>
      </c>
      <c r="J99" s="26">
        <f>23*D99/100</f>
        <v>1.61</v>
      </c>
      <c r="K99" s="16">
        <f>22*D99/100</f>
        <v>1.54</v>
      </c>
      <c r="L99" s="26">
        <f>3*D99/100</f>
        <v>0.21</v>
      </c>
      <c r="M99" s="16">
        <f>19*E99/100</f>
        <v>1.33</v>
      </c>
      <c r="N99" s="16">
        <f>0.2*E99/100</f>
        <v>1.4000000000000002E-2</v>
      </c>
      <c r="O99" s="16">
        <f>0.5*E99/100</f>
        <v>3.5000000000000003E-2</v>
      </c>
      <c r="P99" s="16">
        <v>0</v>
      </c>
      <c r="Q99" s="16">
        <v>0</v>
      </c>
      <c r="R99" s="18">
        <v>0</v>
      </c>
      <c r="S99" s="16">
        <v>0</v>
      </c>
      <c r="T99" s="22">
        <v>800</v>
      </c>
      <c r="U99" s="22">
        <f>D99*T99/1000</f>
        <v>5.6</v>
      </c>
    </row>
    <row r="100" spans="1:21" x14ac:dyDescent="0.2">
      <c r="A100" s="22"/>
      <c r="B100" s="22" t="s">
        <v>14</v>
      </c>
      <c r="C100" s="22"/>
      <c r="D100" s="22">
        <v>28</v>
      </c>
      <c r="E100" s="22">
        <v>27</v>
      </c>
      <c r="F100" s="22">
        <f>2.8*E100/100</f>
        <v>0.75599999999999989</v>
      </c>
      <c r="G100" s="22">
        <f>3.2*E100/100</f>
        <v>0.8640000000000001</v>
      </c>
      <c r="H100" s="22">
        <f>4.7*E100/100</f>
        <v>1.2690000000000001</v>
      </c>
      <c r="I100" s="22">
        <f>58*E100/100</f>
        <v>15.66</v>
      </c>
      <c r="J100" s="22">
        <f>146*E100/100</f>
        <v>39.42</v>
      </c>
      <c r="K100" s="22">
        <f>120*E100/100</f>
        <v>32.4</v>
      </c>
      <c r="L100" s="22">
        <f>14*E100/100</f>
        <v>3.78</v>
      </c>
      <c r="M100" s="22">
        <f>90*E100/100</f>
        <v>24.3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f>1.3*E100/100</f>
        <v>0.35100000000000003</v>
      </c>
      <c r="T100" s="22">
        <v>79.64</v>
      </c>
      <c r="U100" s="22">
        <f>D100*T100/1000</f>
        <v>2.2299199999999999</v>
      </c>
    </row>
    <row r="101" spans="1:21" x14ac:dyDescent="0.2">
      <c r="A101" s="22"/>
      <c r="B101" s="22" t="s">
        <v>24</v>
      </c>
      <c r="C101" s="22"/>
      <c r="D101" s="22">
        <v>1.8</v>
      </c>
      <c r="E101" s="22">
        <v>1.8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20.87</v>
      </c>
      <c r="U101" s="22">
        <f>D101*T101/1000</f>
        <v>3.7566000000000002E-2</v>
      </c>
    </row>
    <row r="102" spans="1:21" ht="17.25" customHeight="1" x14ac:dyDescent="0.2">
      <c r="A102" s="22"/>
      <c r="B102" s="22" t="s">
        <v>25</v>
      </c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75">
        <f>SUM(U98:U101)</f>
        <v>15.042485999999998</v>
      </c>
    </row>
    <row r="103" spans="1:21" ht="15" customHeight="1" x14ac:dyDescent="0.2">
      <c r="A103" s="7" t="s">
        <v>50</v>
      </c>
      <c r="B103" s="4" t="s">
        <v>51</v>
      </c>
      <c r="C103" s="4">
        <v>200</v>
      </c>
      <c r="D103" s="4" t="s">
        <v>100</v>
      </c>
      <c r="E103" s="4"/>
      <c r="F103" s="4">
        <f>F104</f>
        <v>1</v>
      </c>
      <c r="G103" s="4">
        <f t="shared" ref="G103:S103" si="15">G104</f>
        <v>0.2</v>
      </c>
      <c r="H103" s="4">
        <f t="shared" si="15"/>
        <v>20.2</v>
      </c>
      <c r="I103" s="4">
        <f t="shared" si="15"/>
        <v>92</v>
      </c>
      <c r="J103" s="4">
        <f t="shared" si="15"/>
        <v>240</v>
      </c>
      <c r="K103" s="4">
        <f t="shared" si="15"/>
        <v>14</v>
      </c>
      <c r="L103" s="4">
        <f t="shared" si="15"/>
        <v>8</v>
      </c>
      <c r="M103" s="4">
        <f t="shared" si="15"/>
        <v>14</v>
      </c>
      <c r="N103" s="4">
        <f t="shared" si="15"/>
        <v>2.8</v>
      </c>
      <c r="O103" s="64">
        <f t="shared" si="15"/>
        <v>0</v>
      </c>
      <c r="P103" s="4">
        <f t="shared" si="15"/>
        <v>0</v>
      </c>
      <c r="Q103" s="4">
        <f t="shared" si="15"/>
        <v>0</v>
      </c>
      <c r="R103" s="4">
        <f t="shared" si="15"/>
        <v>0.4</v>
      </c>
      <c r="S103" s="4">
        <f t="shared" si="15"/>
        <v>4</v>
      </c>
      <c r="T103" s="16"/>
      <c r="U103" s="16"/>
    </row>
    <row r="104" spans="1:21" ht="25.5" x14ac:dyDescent="0.2">
      <c r="A104" s="8"/>
      <c r="B104" s="22" t="s">
        <v>60</v>
      </c>
      <c r="C104" s="16"/>
      <c r="D104" s="16">
        <v>200</v>
      </c>
      <c r="E104" s="16">
        <v>200</v>
      </c>
      <c r="F104" s="16">
        <f>0.5*E104/100</f>
        <v>1</v>
      </c>
      <c r="G104" s="16">
        <f>0.1*E104/100</f>
        <v>0.2</v>
      </c>
      <c r="H104" s="16">
        <f>10.1*E104/100</f>
        <v>20.2</v>
      </c>
      <c r="I104" s="16">
        <f>46*E104/100</f>
        <v>92</v>
      </c>
      <c r="J104" s="16">
        <f>120*E104/100</f>
        <v>240</v>
      </c>
      <c r="K104" s="16">
        <f>7*E104/100</f>
        <v>14</v>
      </c>
      <c r="L104" s="16">
        <f>4*E104/100</f>
        <v>8</v>
      </c>
      <c r="M104" s="16">
        <f>7*E104/100</f>
        <v>14</v>
      </c>
      <c r="N104" s="16">
        <f>1.4*E104/100</f>
        <v>2.8</v>
      </c>
      <c r="O104" s="61">
        <v>0</v>
      </c>
      <c r="P104" s="16">
        <v>0</v>
      </c>
      <c r="Q104" s="16">
        <v>0</v>
      </c>
      <c r="R104" s="18">
        <f>0.2*E104/100</f>
        <v>0.4</v>
      </c>
      <c r="S104" s="16">
        <f>2*E104/100</f>
        <v>4</v>
      </c>
      <c r="T104" s="16">
        <v>110</v>
      </c>
      <c r="U104" s="24">
        <f>D104*T104/1000</f>
        <v>22</v>
      </c>
    </row>
    <row r="105" spans="1:21" ht="15.75" customHeight="1" x14ac:dyDescent="0.2">
      <c r="A105" s="9"/>
      <c r="B105" s="28" t="s">
        <v>25</v>
      </c>
      <c r="C105" s="16"/>
      <c r="D105" s="16"/>
      <c r="E105" s="16"/>
      <c r="F105" s="16"/>
      <c r="G105" s="16"/>
      <c r="H105" s="16"/>
      <c r="I105" s="16"/>
      <c r="J105" s="16" t="s">
        <v>59</v>
      </c>
      <c r="K105" s="16"/>
      <c r="L105" s="16"/>
      <c r="M105" s="16"/>
      <c r="N105" s="16"/>
      <c r="O105" s="61"/>
      <c r="P105" s="16"/>
      <c r="Q105" s="16"/>
      <c r="R105" s="18"/>
      <c r="S105" s="16"/>
      <c r="T105" s="16"/>
      <c r="U105" s="32">
        <f>U104</f>
        <v>22</v>
      </c>
    </row>
    <row r="106" spans="1:21" x14ac:dyDescent="0.2">
      <c r="A106" s="6" t="s">
        <v>104</v>
      </c>
      <c r="B106" s="39" t="s">
        <v>105</v>
      </c>
      <c r="C106" s="4">
        <v>60</v>
      </c>
      <c r="D106" s="16">
        <v>63.6</v>
      </c>
      <c r="E106" s="16">
        <v>60</v>
      </c>
      <c r="F106" s="4">
        <v>0.48</v>
      </c>
      <c r="G106" s="4">
        <v>0.06</v>
      </c>
      <c r="H106" s="4">
        <v>1.5</v>
      </c>
      <c r="I106" s="4">
        <v>8.4</v>
      </c>
      <c r="J106" s="4">
        <v>84.6</v>
      </c>
      <c r="K106" s="4">
        <v>13.8</v>
      </c>
      <c r="L106" s="4">
        <v>8.4</v>
      </c>
      <c r="M106" s="4">
        <v>25.2</v>
      </c>
      <c r="N106" s="4">
        <v>0.36</v>
      </c>
      <c r="O106" s="64">
        <v>6</v>
      </c>
      <c r="P106" s="4">
        <v>1.7999999999999999E-2</v>
      </c>
      <c r="Q106" s="4">
        <v>2.4E-2</v>
      </c>
      <c r="R106" s="21">
        <v>0.12</v>
      </c>
      <c r="S106" s="4">
        <v>6</v>
      </c>
      <c r="T106" s="16">
        <v>50</v>
      </c>
      <c r="U106" s="32">
        <f>D106*T106/1000</f>
        <v>3.18</v>
      </c>
    </row>
    <row r="107" spans="1:21" ht="18.75" customHeight="1" x14ac:dyDescent="0.2">
      <c r="A107" s="71" t="s">
        <v>11</v>
      </c>
      <c r="B107" s="19" t="s">
        <v>56</v>
      </c>
      <c r="C107" s="19">
        <v>180</v>
      </c>
      <c r="D107" s="16" t="s">
        <v>26</v>
      </c>
      <c r="E107" s="16">
        <v>180</v>
      </c>
      <c r="F107" s="4">
        <f>0.4*E107/100</f>
        <v>0.72</v>
      </c>
      <c r="G107" s="4">
        <f>0.4*E107/100</f>
        <v>0.72</v>
      </c>
      <c r="H107" s="4">
        <f>9.8*E107/100</f>
        <v>17.64</v>
      </c>
      <c r="I107" s="4">
        <f>47*E107/100</f>
        <v>84.6</v>
      </c>
      <c r="J107" s="4">
        <f>278*E107/100</f>
        <v>500.4</v>
      </c>
      <c r="K107" s="4">
        <f>16*E107/100</f>
        <v>28.8</v>
      </c>
      <c r="L107" s="4">
        <f>9*E107/100</f>
        <v>16.2</v>
      </c>
      <c r="M107" s="4">
        <f>11*E107/100</f>
        <v>19.8</v>
      </c>
      <c r="N107" s="4">
        <f>2.2*E107/100</f>
        <v>3.9600000000000004</v>
      </c>
      <c r="O107" s="64">
        <v>10</v>
      </c>
      <c r="P107" s="4">
        <v>0</v>
      </c>
      <c r="Q107" s="4">
        <v>0.04</v>
      </c>
      <c r="R107" s="21">
        <v>0</v>
      </c>
      <c r="S107" s="4">
        <f>10*E107/100</f>
        <v>18</v>
      </c>
      <c r="T107" s="16">
        <v>80</v>
      </c>
      <c r="U107" s="32">
        <f>C107*T107/1000</f>
        <v>14.4</v>
      </c>
    </row>
    <row r="108" spans="1:21" ht="15.75" customHeight="1" x14ac:dyDescent="0.2">
      <c r="A108" s="71" t="s">
        <v>11</v>
      </c>
      <c r="B108" s="19" t="s">
        <v>1</v>
      </c>
      <c r="C108" s="19">
        <v>50</v>
      </c>
      <c r="D108" s="16">
        <v>50</v>
      </c>
      <c r="E108" s="16">
        <v>50</v>
      </c>
      <c r="F108" s="4">
        <f>7.7*E108/100</f>
        <v>3.85</v>
      </c>
      <c r="G108" s="4">
        <v>5.5</v>
      </c>
      <c r="H108" s="4">
        <f>49.8*E108/100</f>
        <v>24.9</v>
      </c>
      <c r="I108" s="4">
        <f>262*E108/100</f>
        <v>131</v>
      </c>
      <c r="J108" s="4">
        <f>127*E108/100</f>
        <v>63.5</v>
      </c>
      <c r="K108" s="4">
        <f>26*E108/100</f>
        <v>13</v>
      </c>
      <c r="L108" s="4">
        <f>35*E108/100</f>
        <v>17.5</v>
      </c>
      <c r="M108" s="4">
        <f>83*E108/100</f>
        <v>41.5</v>
      </c>
      <c r="N108" s="4">
        <f>1.6*E108/100</f>
        <v>0.8</v>
      </c>
      <c r="O108" s="64">
        <v>0</v>
      </c>
      <c r="P108" s="4">
        <f>0.16*E108/100</f>
        <v>0.08</v>
      </c>
      <c r="Q108" s="4">
        <f>0.08*E108/100</f>
        <v>0.04</v>
      </c>
      <c r="R108" s="21">
        <f>1.54*E108/100</f>
        <v>0.77</v>
      </c>
      <c r="S108" s="4">
        <v>0</v>
      </c>
      <c r="T108" s="16">
        <v>50</v>
      </c>
      <c r="U108" s="24">
        <f>E108*T108/1000</f>
        <v>2.5</v>
      </c>
    </row>
    <row r="109" spans="1:21" ht="13.5" customHeight="1" x14ac:dyDescent="0.2">
      <c r="A109" s="4" t="s">
        <v>98</v>
      </c>
      <c r="B109" s="19" t="s">
        <v>99</v>
      </c>
      <c r="C109" s="19">
        <v>50</v>
      </c>
      <c r="D109" s="16">
        <v>50</v>
      </c>
      <c r="E109" s="16">
        <v>50</v>
      </c>
      <c r="F109" s="4">
        <f>6.6*E109/100</f>
        <v>3.3</v>
      </c>
      <c r="G109" s="4">
        <f>1.2*E109/100</f>
        <v>0.6</v>
      </c>
      <c r="H109" s="4">
        <f>34.2*E109/100</f>
        <v>17.100000000000001</v>
      </c>
      <c r="I109" s="4">
        <f>181*E109/100</f>
        <v>90.5</v>
      </c>
      <c r="J109" s="4">
        <f>94*E109/100</f>
        <v>47</v>
      </c>
      <c r="K109" s="4">
        <f>34*E109/100</f>
        <v>17</v>
      </c>
      <c r="L109" s="4">
        <f>41*E109/100</f>
        <v>20.5</v>
      </c>
      <c r="M109" s="4">
        <f>120*E109/100</f>
        <v>60</v>
      </c>
      <c r="N109" s="4">
        <f>2.3*E109/100</f>
        <v>1.1499999999999999</v>
      </c>
      <c r="O109" s="64">
        <v>0</v>
      </c>
      <c r="P109" s="4">
        <v>0</v>
      </c>
      <c r="Q109" s="4">
        <v>0</v>
      </c>
      <c r="R109" s="21">
        <v>0</v>
      </c>
      <c r="S109" s="4">
        <v>0</v>
      </c>
      <c r="T109" s="16">
        <v>60</v>
      </c>
      <c r="U109" s="24">
        <f>E109*T109/1000</f>
        <v>3</v>
      </c>
    </row>
    <row r="110" spans="1:21" ht="16.5" customHeight="1" x14ac:dyDescent="0.2">
      <c r="A110" s="6"/>
      <c r="B110" s="4" t="s">
        <v>12</v>
      </c>
      <c r="C110" s="82">
        <f>C86+C97+C103+C106+C107+C108+C109</f>
        <v>860</v>
      </c>
      <c r="D110" s="16"/>
      <c r="E110" s="16"/>
      <c r="F110" s="82">
        <f t="shared" ref="F110:S110" si="16">F86+F97+F103+F106+F107+F108+F109</f>
        <v>32.989000000000004</v>
      </c>
      <c r="G110" s="82">
        <f t="shared" si="16"/>
        <v>19.701000000000001</v>
      </c>
      <c r="H110" s="82">
        <f t="shared" si="16"/>
        <v>115.13999999999999</v>
      </c>
      <c r="I110" s="82">
        <f t="shared" si="16"/>
        <v>751.73</v>
      </c>
      <c r="J110" s="82">
        <f t="shared" si="16"/>
        <v>2482.5</v>
      </c>
      <c r="K110" s="82">
        <f t="shared" si="16"/>
        <v>207.03000000000003</v>
      </c>
      <c r="L110" s="82">
        <f t="shared" si="16"/>
        <v>190.52</v>
      </c>
      <c r="M110" s="82">
        <f t="shared" si="16"/>
        <v>587.57000000000005</v>
      </c>
      <c r="N110" s="82">
        <f t="shared" si="16"/>
        <v>11.962000000000002</v>
      </c>
      <c r="O110" s="82">
        <f t="shared" si="16"/>
        <v>18.954999999999998</v>
      </c>
      <c r="P110" s="82">
        <f t="shared" si="16"/>
        <v>0.11799999999999999</v>
      </c>
      <c r="Q110" s="82">
        <f t="shared" si="16"/>
        <v>0.124</v>
      </c>
      <c r="R110" s="82">
        <f t="shared" si="16"/>
        <v>5.1890000000000001</v>
      </c>
      <c r="S110" s="82">
        <f t="shared" si="16"/>
        <v>64.100999999999999</v>
      </c>
      <c r="T110" s="16"/>
      <c r="U110" s="33">
        <f>U96+U102+U105+U106+U107+U108+U109</f>
        <v>107.149586</v>
      </c>
    </row>
    <row r="111" spans="1:21" x14ac:dyDescent="0.2">
      <c r="A111" s="6"/>
      <c r="B111" s="17" t="s">
        <v>79</v>
      </c>
      <c r="C111" s="17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61"/>
      <c r="P111" s="16"/>
      <c r="Q111" s="16"/>
      <c r="R111" s="18"/>
      <c r="S111" s="16"/>
      <c r="T111" s="16"/>
      <c r="U111" s="16"/>
    </row>
    <row r="112" spans="1:21" x14ac:dyDescent="0.2">
      <c r="A112" s="6"/>
      <c r="B112" s="17" t="s">
        <v>0</v>
      </c>
      <c r="C112" s="17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61"/>
      <c r="P112" s="16"/>
      <c r="Q112" s="16"/>
      <c r="R112" s="18"/>
      <c r="S112" s="16"/>
      <c r="T112" s="16"/>
      <c r="U112" s="16"/>
    </row>
    <row r="113" spans="1:21" ht="19.5" customHeight="1" x14ac:dyDescent="0.2">
      <c r="A113" s="6" t="s">
        <v>119</v>
      </c>
      <c r="B113" s="19" t="s">
        <v>123</v>
      </c>
      <c r="C113" s="20">
        <v>208</v>
      </c>
      <c r="D113" s="16"/>
      <c r="E113" s="4"/>
      <c r="F113" s="47">
        <f>SUM(F114:F120)</f>
        <v>8.3216000000000001</v>
      </c>
      <c r="G113" s="47">
        <f t="shared" ref="G113:S113" si="17">SUM(G114:G120)</f>
        <v>12.2912</v>
      </c>
      <c r="H113" s="47">
        <f t="shared" si="17"/>
        <v>56.423999999999999</v>
      </c>
      <c r="I113" s="47">
        <f t="shared" si="17"/>
        <v>370.69599999999997</v>
      </c>
      <c r="J113" s="47">
        <f t="shared" si="17"/>
        <v>92.64</v>
      </c>
      <c r="K113" s="47">
        <f t="shared" si="17"/>
        <v>17.84</v>
      </c>
      <c r="L113" s="47">
        <f t="shared" si="17"/>
        <v>11.44</v>
      </c>
      <c r="M113" s="47">
        <f t="shared" si="17"/>
        <v>72.559999999999988</v>
      </c>
      <c r="N113" s="47">
        <f t="shared" si="17"/>
        <v>0.98399999999999999</v>
      </c>
      <c r="O113" s="47">
        <f t="shared" si="17"/>
        <v>0.06</v>
      </c>
      <c r="P113" s="47">
        <f t="shared" si="17"/>
        <v>5.6000000000000008E-3</v>
      </c>
      <c r="Q113" s="47">
        <f t="shared" si="17"/>
        <v>3.5200000000000002E-2</v>
      </c>
      <c r="R113" s="47">
        <f t="shared" si="17"/>
        <v>1.6E-2</v>
      </c>
      <c r="S113" s="47">
        <f t="shared" si="17"/>
        <v>0</v>
      </c>
      <c r="T113" s="16"/>
      <c r="U113" s="16"/>
    </row>
    <row r="114" spans="1:21" x14ac:dyDescent="0.2">
      <c r="A114" s="6"/>
      <c r="B114" s="22" t="s">
        <v>120</v>
      </c>
      <c r="C114" s="23"/>
      <c r="D114" s="16">
        <v>64</v>
      </c>
      <c r="E114" s="16">
        <v>64</v>
      </c>
      <c r="F114" s="24">
        <f>10.4*E114/100</f>
        <v>6.6560000000000006</v>
      </c>
      <c r="G114" s="24">
        <f>1.1*E114/100</f>
        <v>0.70400000000000007</v>
      </c>
      <c r="H114" s="24">
        <f>69.7*E114/100</f>
        <v>44.608000000000004</v>
      </c>
      <c r="I114" s="24">
        <f>337*E114/100</f>
        <v>215.68</v>
      </c>
      <c r="J114" s="24">
        <f>124*E114/100</f>
        <v>79.36</v>
      </c>
      <c r="K114" s="24">
        <f>18*E114/100</f>
        <v>11.52</v>
      </c>
      <c r="L114" s="24">
        <f>16*E114/100</f>
        <v>10.24</v>
      </c>
      <c r="M114" s="24">
        <f>87*E114/100</f>
        <v>55.68</v>
      </c>
      <c r="N114" s="24">
        <f>1.2*E114/100</f>
        <v>0.76800000000000002</v>
      </c>
      <c r="O114" s="52">
        <v>0</v>
      </c>
      <c r="P114" s="24">
        <v>0</v>
      </c>
      <c r="Q114" s="16">
        <v>0</v>
      </c>
      <c r="R114" s="18">
        <v>0</v>
      </c>
      <c r="S114" s="16">
        <v>0</v>
      </c>
      <c r="T114" s="16">
        <v>114</v>
      </c>
      <c r="U114" s="24">
        <f>D114*T114/1000</f>
        <v>7.2960000000000003</v>
      </c>
    </row>
    <row r="115" spans="1:21" x14ac:dyDescent="0.2">
      <c r="A115" s="6"/>
      <c r="B115" s="16" t="s">
        <v>20</v>
      </c>
      <c r="C115" s="23"/>
      <c r="D115" s="16">
        <v>184</v>
      </c>
      <c r="E115" s="16">
        <v>184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61">
        <v>0</v>
      </c>
      <c r="P115" s="16">
        <v>0</v>
      </c>
      <c r="Q115" s="16">
        <v>0</v>
      </c>
      <c r="R115" s="18">
        <v>0</v>
      </c>
      <c r="S115" s="16">
        <v>0</v>
      </c>
      <c r="T115" s="16">
        <v>0</v>
      </c>
      <c r="U115" s="24">
        <f t="shared" ref="U115:U120" si="18">D115*T115/1000</f>
        <v>0</v>
      </c>
    </row>
    <row r="116" spans="1:21" x14ac:dyDescent="0.2">
      <c r="A116" s="6"/>
      <c r="B116" s="16" t="s">
        <v>121</v>
      </c>
      <c r="C116" s="23"/>
      <c r="D116" s="16">
        <v>8</v>
      </c>
      <c r="E116" s="16">
        <v>8</v>
      </c>
      <c r="F116" s="24">
        <f>12.7*E116/100</f>
        <v>1.016</v>
      </c>
      <c r="G116" s="24">
        <f>11.5*E116/100</f>
        <v>0.92</v>
      </c>
      <c r="H116" s="24">
        <f>0.7*E116/100</f>
        <v>5.5999999999999994E-2</v>
      </c>
      <c r="I116" s="24">
        <f>157*E116/100</f>
        <v>12.56</v>
      </c>
      <c r="J116" s="24">
        <f>140*E116/100</f>
        <v>11.2</v>
      </c>
      <c r="K116" s="24">
        <f>55*E116/100</f>
        <v>4.4000000000000004</v>
      </c>
      <c r="L116" s="24">
        <f>12*E116/100</f>
        <v>0.96</v>
      </c>
      <c r="M116" s="24">
        <f>192*E116/100</f>
        <v>15.36</v>
      </c>
      <c r="N116" s="24">
        <f>2.5*E116/100</f>
        <v>0.2</v>
      </c>
      <c r="O116" s="52">
        <f>0.25*E116/100</f>
        <v>0.02</v>
      </c>
      <c r="P116" s="24">
        <f>0.07*E116/100</f>
        <v>5.6000000000000008E-3</v>
      </c>
      <c r="Q116" s="24">
        <f>0.44*E116/100</f>
        <v>3.5200000000000002E-2</v>
      </c>
      <c r="R116" s="49">
        <f>0.2*E116/100</f>
        <v>1.6E-2</v>
      </c>
      <c r="S116" s="24">
        <v>0</v>
      </c>
      <c r="T116" s="16">
        <v>10.3</v>
      </c>
      <c r="U116" s="24">
        <f>D116*T116/40</f>
        <v>2.06</v>
      </c>
    </row>
    <row r="117" spans="1:21" x14ac:dyDescent="0.2">
      <c r="A117" s="6"/>
      <c r="B117" s="16" t="s">
        <v>15</v>
      </c>
      <c r="C117" s="23"/>
      <c r="D117" s="16">
        <v>8</v>
      </c>
      <c r="E117" s="16">
        <v>8</v>
      </c>
      <c r="F117" s="24">
        <v>0</v>
      </c>
      <c r="G117" s="24">
        <v>0</v>
      </c>
      <c r="H117" s="24">
        <f>99.8*E117/100</f>
        <v>7.984</v>
      </c>
      <c r="I117" s="24">
        <f>379*E117/100</f>
        <v>30.32</v>
      </c>
      <c r="J117" s="24">
        <f>3*E117/100</f>
        <v>0.24</v>
      </c>
      <c r="K117" s="24">
        <f>2*E117/100</f>
        <v>0.16</v>
      </c>
      <c r="L117" s="24">
        <v>0</v>
      </c>
      <c r="M117" s="24">
        <v>0</v>
      </c>
      <c r="N117" s="24">
        <v>0</v>
      </c>
      <c r="O117" s="52">
        <v>0</v>
      </c>
      <c r="P117" s="24">
        <v>0</v>
      </c>
      <c r="Q117" s="24">
        <v>0</v>
      </c>
      <c r="R117" s="49">
        <v>0</v>
      </c>
      <c r="S117" s="24">
        <v>0</v>
      </c>
      <c r="T117" s="16">
        <v>75.28</v>
      </c>
      <c r="U117" s="24">
        <f t="shared" si="18"/>
        <v>0.60224</v>
      </c>
    </row>
    <row r="118" spans="1:21" x14ac:dyDescent="0.2">
      <c r="A118" s="6"/>
      <c r="B118" s="16" t="s">
        <v>122</v>
      </c>
      <c r="C118" s="23"/>
      <c r="D118" s="16">
        <v>4.8</v>
      </c>
      <c r="E118" s="16">
        <v>4.8</v>
      </c>
      <c r="F118" s="22">
        <v>0</v>
      </c>
      <c r="G118" s="22">
        <f>99.9*E118/100</f>
        <v>4.7951999999999995</v>
      </c>
      <c r="H118" s="22">
        <v>0</v>
      </c>
      <c r="I118" s="22">
        <f>899*E118/100</f>
        <v>43.152000000000001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16">
        <v>136.76</v>
      </c>
      <c r="U118" s="24">
        <f t="shared" si="18"/>
        <v>0.65644800000000003</v>
      </c>
    </row>
    <row r="119" spans="1:21" x14ac:dyDescent="0.2">
      <c r="A119" s="6"/>
      <c r="B119" s="16" t="s">
        <v>34</v>
      </c>
      <c r="C119" s="23"/>
      <c r="D119" s="16">
        <v>4.8</v>
      </c>
      <c r="E119" s="16">
        <v>4.8</v>
      </c>
      <c r="F119" s="24">
        <f>12.2*E119/100</f>
        <v>0.5855999999999999</v>
      </c>
      <c r="G119" s="24">
        <f>1.5*E119/100</f>
        <v>7.1999999999999995E-2</v>
      </c>
      <c r="H119" s="24">
        <f>76.5*E119/100</f>
        <v>3.6719999999999997</v>
      </c>
      <c r="I119" s="24">
        <f>335.5*E119/100</f>
        <v>16.103999999999999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52">
        <v>0</v>
      </c>
      <c r="P119" s="24">
        <v>0</v>
      </c>
      <c r="Q119" s="24">
        <v>0</v>
      </c>
      <c r="R119" s="49">
        <v>0</v>
      </c>
      <c r="S119" s="24">
        <v>0</v>
      </c>
      <c r="T119" s="16">
        <v>90</v>
      </c>
      <c r="U119" s="24">
        <f t="shared" si="18"/>
        <v>0.432</v>
      </c>
    </row>
    <row r="120" spans="1:21" x14ac:dyDescent="0.2">
      <c r="A120" s="6"/>
      <c r="B120" s="16" t="s">
        <v>46</v>
      </c>
      <c r="C120" s="23"/>
      <c r="D120" s="16">
        <v>8</v>
      </c>
      <c r="E120" s="16">
        <v>8</v>
      </c>
      <c r="F120" s="16">
        <f>0.8*D120/100</f>
        <v>6.4000000000000001E-2</v>
      </c>
      <c r="G120" s="16">
        <f>72.5*D120/100</f>
        <v>5.8</v>
      </c>
      <c r="H120" s="16">
        <f>1.3*D120/100</f>
        <v>0.10400000000000001</v>
      </c>
      <c r="I120" s="16">
        <f>661*D120/100</f>
        <v>52.88</v>
      </c>
      <c r="J120" s="26">
        <f>23*D120/100</f>
        <v>1.84</v>
      </c>
      <c r="K120" s="16">
        <f>22*D120/100</f>
        <v>1.76</v>
      </c>
      <c r="L120" s="26">
        <f>3*D120/100</f>
        <v>0.24</v>
      </c>
      <c r="M120" s="16">
        <f>19*E120/100</f>
        <v>1.52</v>
      </c>
      <c r="N120" s="16">
        <f>0.2*E120/100</f>
        <v>1.6E-2</v>
      </c>
      <c r="O120" s="16">
        <f>0.5*E120/100</f>
        <v>0.04</v>
      </c>
      <c r="P120" s="16">
        <v>0</v>
      </c>
      <c r="Q120" s="16">
        <v>0</v>
      </c>
      <c r="R120" s="18">
        <v>0</v>
      </c>
      <c r="S120" s="16">
        <v>0</v>
      </c>
      <c r="T120" s="16">
        <v>800</v>
      </c>
      <c r="U120" s="24">
        <f t="shared" si="18"/>
        <v>6.4</v>
      </c>
    </row>
    <row r="121" spans="1:21" x14ac:dyDescent="0.2">
      <c r="A121" s="6"/>
      <c r="B121" s="28" t="s">
        <v>25</v>
      </c>
      <c r="C121" s="23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61"/>
      <c r="P121" s="16"/>
      <c r="Q121" s="16"/>
      <c r="R121" s="18"/>
      <c r="S121" s="16"/>
      <c r="T121" s="16"/>
      <c r="U121" s="32">
        <f>SUM(U114:U120)</f>
        <v>17.446688000000002</v>
      </c>
    </row>
    <row r="122" spans="1:21" ht="25.5" x14ac:dyDescent="0.2">
      <c r="A122" s="74" t="s">
        <v>106</v>
      </c>
      <c r="B122" s="72" t="s">
        <v>107</v>
      </c>
      <c r="C122" s="4">
        <v>50</v>
      </c>
      <c r="D122" s="16"/>
      <c r="E122" s="4"/>
      <c r="F122" s="4">
        <v>5.76</v>
      </c>
      <c r="G122" s="4">
        <v>8.85</v>
      </c>
      <c r="H122" s="4">
        <v>14.9</v>
      </c>
      <c r="I122" s="4">
        <v>165.7</v>
      </c>
      <c r="J122" s="4">
        <f t="shared" ref="J122:S122" si="19">J123+J124+J125</f>
        <v>58.75</v>
      </c>
      <c r="K122" s="4">
        <f t="shared" si="19"/>
        <v>164.9</v>
      </c>
      <c r="L122" s="4">
        <f t="shared" si="19"/>
        <v>10.65</v>
      </c>
      <c r="M122" s="4">
        <f t="shared" si="19"/>
        <v>107.44999999999999</v>
      </c>
      <c r="N122" s="4">
        <f t="shared" si="19"/>
        <v>0.49</v>
      </c>
      <c r="O122" s="4">
        <f t="shared" si="19"/>
        <v>5.6500000000000002E-2</v>
      </c>
      <c r="P122" s="4">
        <f t="shared" si="19"/>
        <v>0</v>
      </c>
      <c r="Q122" s="4">
        <f t="shared" si="19"/>
        <v>5.7000000000000002E-2</v>
      </c>
      <c r="R122" s="21">
        <f t="shared" si="19"/>
        <v>0.52200000000000002</v>
      </c>
      <c r="S122" s="4">
        <f t="shared" si="19"/>
        <v>0.42</v>
      </c>
      <c r="T122" s="16"/>
      <c r="U122" s="24"/>
    </row>
    <row r="123" spans="1:21" x14ac:dyDescent="0.2">
      <c r="A123" s="4"/>
      <c r="B123" s="27" t="s">
        <v>108</v>
      </c>
      <c r="C123" s="16"/>
      <c r="D123" s="16">
        <v>16</v>
      </c>
      <c r="E123" s="16">
        <v>15</v>
      </c>
      <c r="F123" s="16">
        <f>23*E123/100</f>
        <v>3.45</v>
      </c>
      <c r="G123" s="16">
        <f>29*E123/100</f>
        <v>4.3499999999999996</v>
      </c>
      <c r="H123" s="16">
        <v>0</v>
      </c>
      <c r="I123" s="16">
        <f>360*E123/100</f>
        <v>54</v>
      </c>
      <c r="J123" s="25">
        <f>130*E123/100</f>
        <v>19.5</v>
      </c>
      <c r="K123" s="16">
        <f>1040*E123/100</f>
        <v>156</v>
      </c>
      <c r="L123" s="16">
        <v>0</v>
      </c>
      <c r="M123" s="16">
        <f>544*E123/100</f>
        <v>81.599999999999994</v>
      </c>
      <c r="N123" s="16">
        <v>0</v>
      </c>
      <c r="O123" s="16">
        <f>0.21*E123/100</f>
        <v>3.15E-2</v>
      </c>
      <c r="P123" s="16">
        <v>0</v>
      </c>
      <c r="Q123" s="16">
        <f>0.38*E123/100</f>
        <v>5.7000000000000002E-2</v>
      </c>
      <c r="R123" s="18">
        <f>0.4*E123/100</f>
        <v>0.06</v>
      </c>
      <c r="S123" s="16">
        <f>2.8*E123/100</f>
        <v>0.42</v>
      </c>
      <c r="T123" s="16">
        <v>740</v>
      </c>
      <c r="U123" s="24">
        <f>D123*T123/1000</f>
        <v>11.84</v>
      </c>
    </row>
    <row r="124" spans="1:21" x14ac:dyDescent="0.2">
      <c r="A124" s="4"/>
      <c r="B124" s="43" t="s">
        <v>22</v>
      </c>
      <c r="C124" s="22"/>
      <c r="D124" s="16">
        <v>5</v>
      </c>
      <c r="E124" s="16">
        <v>5</v>
      </c>
      <c r="F124" s="16">
        <f>0.8*D124/100</f>
        <v>0.04</v>
      </c>
      <c r="G124" s="16">
        <f>72.5*D124/100</f>
        <v>3.625</v>
      </c>
      <c r="H124" s="16">
        <f>1.3*D124/100</f>
        <v>6.5000000000000002E-2</v>
      </c>
      <c r="I124" s="16">
        <f>661*D124/100</f>
        <v>33.049999999999997</v>
      </c>
      <c r="J124" s="26">
        <f>23*D124/100</f>
        <v>1.1499999999999999</v>
      </c>
      <c r="K124" s="16">
        <f>22*D124/100</f>
        <v>1.1000000000000001</v>
      </c>
      <c r="L124" s="26">
        <f>3*D124/100</f>
        <v>0.15</v>
      </c>
      <c r="M124" s="16">
        <f>19*E124/100</f>
        <v>0.95</v>
      </c>
      <c r="N124" s="16">
        <f>0.2*E124/100</f>
        <v>0.01</v>
      </c>
      <c r="O124" s="16">
        <f>0.5*E124/100</f>
        <v>2.5000000000000001E-2</v>
      </c>
      <c r="P124" s="16">
        <v>0</v>
      </c>
      <c r="Q124" s="16">
        <v>0</v>
      </c>
      <c r="R124" s="18">
        <v>0</v>
      </c>
      <c r="S124" s="16">
        <v>0</v>
      </c>
      <c r="T124" s="16">
        <v>800</v>
      </c>
      <c r="U124" s="24">
        <f>D124*T124/1000</f>
        <v>4</v>
      </c>
    </row>
    <row r="125" spans="1:21" x14ac:dyDescent="0.2">
      <c r="A125" s="4"/>
      <c r="B125" s="27" t="s">
        <v>109</v>
      </c>
      <c r="C125" s="16"/>
      <c r="D125" s="16">
        <v>30</v>
      </c>
      <c r="E125" s="16">
        <v>30</v>
      </c>
      <c r="F125" s="16">
        <f>7.7*E125/100</f>
        <v>2.31</v>
      </c>
      <c r="G125" s="16">
        <f>3*E125/100</f>
        <v>0.9</v>
      </c>
      <c r="H125" s="16">
        <f>49.8*E125/100</f>
        <v>14.94</v>
      </c>
      <c r="I125" s="16">
        <f>262*E125/100</f>
        <v>78.599999999999994</v>
      </c>
      <c r="J125" s="16">
        <f>127*E125/100</f>
        <v>38.1</v>
      </c>
      <c r="K125" s="16">
        <f>26*E125/100</f>
        <v>7.8</v>
      </c>
      <c r="L125" s="16">
        <f>35*E125/100</f>
        <v>10.5</v>
      </c>
      <c r="M125" s="16">
        <f>83*E125/100</f>
        <v>24.9</v>
      </c>
      <c r="N125" s="16">
        <f>1.6*E125/100</f>
        <v>0.48</v>
      </c>
      <c r="O125" s="16">
        <v>0</v>
      </c>
      <c r="P125" s="16">
        <v>0</v>
      </c>
      <c r="Q125" s="16">
        <v>0</v>
      </c>
      <c r="R125" s="18">
        <f>1.54*E125/100</f>
        <v>0.46200000000000002</v>
      </c>
      <c r="S125" s="16">
        <v>0</v>
      </c>
      <c r="T125" s="16">
        <v>50</v>
      </c>
      <c r="U125" s="24">
        <f>D125*T125/1000</f>
        <v>1.5</v>
      </c>
    </row>
    <row r="126" spans="1:21" x14ac:dyDescent="0.2">
      <c r="A126" s="71"/>
      <c r="B126" s="28" t="s">
        <v>25</v>
      </c>
      <c r="C126" s="28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61"/>
      <c r="P126" s="16"/>
      <c r="Q126" s="16"/>
      <c r="R126" s="18"/>
      <c r="S126" s="16"/>
      <c r="T126" s="16"/>
      <c r="U126" s="32">
        <f>SUM(U123:U125)</f>
        <v>17.34</v>
      </c>
    </row>
    <row r="127" spans="1:21" x14ac:dyDescent="0.2">
      <c r="A127" s="71" t="s">
        <v>11</v>
      </c>
      <c r="B127" s="19" t="s">
        <v>1</v>
      </c>
      <c r="C127" s="19">
        <v>20</v>
      </c>
      <c r="D127" s="16">
        <v>20</v>
      </c>
      <c r="E127" s="16">
        <v>20</v>
      </c>
      <c r="F127" s="4">
        <f>7.7*E127/100</f>
        <v>1.54</v>
      </c>
      <c r="G127" s="4">
        <v>1.6</v>
      </c>
      <c r="H127" s="4">
        <f>49.8*E127/100</f>
        <v>9.9600000000000009</v>
      </c>
      <c r="I127" s="4">
        <f>262*E127/100</f>
        <v>52.4</v>
      </c>
      <c r="J127" s="4">
        <f>127*E127/100</f>
        <v>25.4</v>
      </c>
      <c r="K127" s="4">
        <f>26*E127/100</f>
        <v>5.2</v>
      </c>
      <c r="L127" s="4">
        <f>35*E127/100</f>
        <v>7</v>
      </c>
      <c r="M127" s="4">
        <f>83*E127/100</f>
        <v>16.600000000000001</v>
      </c>
      <c r="N127" s="4">
        <f>1.6*E127/100</f>
        <v>0.32</v>
      </c>
      <c r="O127" s="64">
        <v>0</v>
      </c>
      <c r="P127" s="4">
        <f>0.16*E127/100</f>
        <v>3.2000000000000001E-2</v>
      </c>
      <c r="Q127" s="4">
        <f>0.08*E127/100</f>
        <v>1.6E-2</v>
      </c>
      <c r="R127" s="21">
        <f>1.54*E127/100</f>
        <v>0.308</v>
      </c>
      <c r="S127" s="4">
        <v>0</v>
      </c>
      <c r="T127" s="16">
        <v>50</v>
      </c>
      <c r="U127" s="24">
        <f>E127*T127/1000</f>
        <v>1</v>
      </c>
    </row>
    <row r="128" spans="1:21" x14ac:dyDescent="0.2">
      <c r="A128" s="4" t="s">
        <v>98</v>
      </c>
      <c r="B128" s="19" t="s">
        <v>99</v>
      </c>
      <c r="C128" s="19">
        <v>50</v>
      </c>
      <c r="D128" s="16">
        <v>50</v>
      </c>
      <c r="E128" s="16">
        <v>50</v>
      </c>
      <c r="F128" s="4">
        <f>6.6*E128/100</f>
        <v>3.3</v>
      </c>
      <c r="G128" s="4">
        <f>1.2*E128/100</f>
        <v>0.6</v>
      </c>
      <c r="H128" s="4">
        <f>34.2*E128/100</f>
        <v>17.100000000000001</v>
      </c>
      <c r="I128" s="4">
        <f>181*E128/100</f>
        <v>90.5</v>
      </c>
      <c r="J128" s="4">
        <f>94*E128/100</f>
        <v>47</v>
      </c>
      <c r="K128" s="4">
        <f>34*E128/100</f>
        <v>17</v>
      </c>
      <c r="L128" s="4">
        <f>41*E128/100</f>
        <v>20.5</v>
      </c>
      <c r="M128" s="4">
        <f>120*E128/100</f>
        <v>60</v>
      </c>
      <c r="N128" s="4">
        <f>2.3*E128/100</f>
        <v>1.1499999999999999</v>
      </c>
      <c r="O128" s="64">
        <v>0</v>
      </c>
      <c r="P128" s="4">
        <v>0</v>
      </c>
      <c r="Q128" s="4">
        <v>0</v>
      </c>
      <c r="R128" s="21">
        <v>0</v>
      </c>
      <c r="S128" s="4">
        <v>0</v>
      </c>
      <c r="T128" s="16">
        <v>60</v>
      </c>
      <c r="U128" s="24">
        <f>E128*T128/1000</f>
        <v>3</v>
      </c>
    </row>
    <row r="129" spans="1:22" ht="18" customHeight="1" x14ac:dyDescent="0.2">
      <c r="A129" s="6" t="s">
        <v>11</v>
      </c>
      <c r="B129" s="19" t="s">
        <v>101</v>
      </c>
      <c r="C129" s="19">
        <v>125</v>
      </c>
      <c r="D129" s="16" t="s">
        <v>26</v>
      </c>
      <c r="E129" s="16">
        <v>125</v>
      </c>
      <c r="F129" s="4">
        <v>4.4000000000000004</v>
      </c>
      <c r="G129" s="4">
        <v>3</v>
      </c>
      <c r="H129" s="4">
        <v>6.5</v>
      </c>
      <c r="I129" s="4">
        <v>96.2</v>
      </c>
      <c r="J129" s="4">
        <f>348*E129/100</f>
        <v>435</v>
      </c>
      <c r="K129" s="4">
        <v>15</v>
      </c>
      <c r="L129" s="4">
        <v>50</v>
      </c>
      <c r="M129" s="4">
        <f>28*E129/100</f>
        <v>35</v>
      </c>
      <c r="N129" s="4">
        <v>0.8</v>
      </c>
      <c r="O129" s="64">
        <v>27.5</v>
      </c>
      <c r="P129" s="4">
        <v>0</v>
      </c>
      <c r="Q129" s="4">
        <v>0.25</v>
      </c>
      <c r="R129" s="21">
        <v>0</v>
      </c>
      <c r="S129" s="4">
        <f>10*E129/100</f>
        <v>12.5</v>
      </c>
      <c r="T129" s="16">
        <v>236</v>
      </c>
      <c r="U129" s="32">
        <f>E129*T129/1000</f>
        <v>29.5</v>
      </c>
    </row>
    <row r="130" spans="1:22" x14ac:dyDescent="0.2">
      <c r="A130" s="7" t="s">
        <v>124</v>
      </c>
      <c r="B130" s="76" t="s">
        <v>125</v>
      </c>
      <c r="C130" s="4">
        <v>200</v>
      </c>
      <c r="D130" s="4"/>
      <c r="E130" s="4"/>
      <c r="F130" s="47">
        <f>F131+F132+F133+F134</f>
        <v>3.55</v>
      </c>
      <c r="G130" s="47">
        <f t="shared" ref="G130:S130" si="20">G131+G132+G133+G134</f>
        <v>3.3800000000000003</v>
      </c>
      <c r="H130" s="47">
        <f t="shared" si="20"/>
        <v>25.01</v>
      </c>
      <c r="I130" s="47">
        <f t="shared" si="20"/>
        <v>139.73500000000001</v>
      </c>
      <c r="J130" s="47">
        <f t="shared" si="20"/>
        <v>146.6</v>
      </c>
      <c r="K130" s="47">
        <f t="shared" si="20"/>
        <v>125.4</v>
      </c>
      <c r="L130" s="47">
        <f t="shared" si="20"/>
        <v>14</v>
      </c>
      <c r="M130" s="47">
        <f t="shared" si="20"/>
        <v>102.5</v>
      </c>
      <c r="N130" s="47">
        <f t="shared" si="20"/>
        <v>0.40500000000000003</v>
      </c>
      <c r="O130" s="47">
        <f t="shared" si="20"/>
        <v>0.02</v>
      </c>
      <c r="P130" s="47">
        <f t="shared" si="20"/>
        <v>0.04</v>
      </c>
      <c r="Q130" s="47">
        <f t="shared" si="20"/>
        <v>0.2</v>
      </c>
      <c r="R130" s="47">
        <f t="shared" si="20"/>
        <v>1.3</v>
      </c>
      <c r="S130" s="47">
        <f t="shared" si="20"/>
        <v>1.3</v>
      </c>
      <c r="T130" s="77"/>
      <c r="U130" s="78"/>
    </row>
    <row r="131" spans="1:22" x14ac:dyDescent="0.2">
      <c r="A131" s="8"/>
      <c r="B131" s="79" t="s">
        <v>126</v>
      </c>
      <c r="C131" s="79"/>
      <c r="D131" s="79">
        <v>5</v>
      </c>
      <c r="E131" s="79">
        <v>5</v>
      </c>
      <c r="F131" s="79">
        <f>15*E131/100</f>
        <v>0.75</v>
      </c>
      <c r="G131" s="79">
        <f>3.6*E131/100</f>
        <v>0.18</v>
      </c>
      <c r="H131" s="79">
        <f>7*E131/100</f>
        <v>0.35</v>
      </c>
      <c r="I131" s="79">
        <f>118.7*E131/100</f>
        <v>5.9349999999999996</v>
      </c>
      <c r="J131" s="79">
        <v>0</v>
      </c>
      <c r="K131" s="79">
        <f>100*E131/100</f>
        <v>5</v>
      </c>
      <c r="L131" s="79">
        <v>0</v>
      </c>
      <c r="M131" s="79">
        <f>250*E131/100</f>
        <v>12.5</v>
      </c>
      <c r="N131" s="79">
        <f>6.1*E131/100</f>
        <v>0.30499999999999999</v>
      </c>
      <c r="O131" s="79">
        <v>0</v>
      </c>
      <c r="P131" s="79">
        <v>0</v>
      </c>
      <c r="Q131" s="79">
        <f>1*E131/100</f>
        <v>0.05</v>
      </c>
      <c r="R131" s="79">
        <f>24*E131/100</f>
        <v>1.2</v>
      </c>
      <c r="S131" s="79">
        <v>0</v>
      </c>
      <c r="T131" s="77">
        <v>500</v>
      </c>
      <c r="U131" s="80">
        <f>D131*T131/1000</f>
        <v>2.5</v>
      </c>
    </row>
    <row r="132" spans="1:22" x14ac:dyDescent="0.2">
      <c r="A132" s="9"/>
      <c r="B132" s="79" t="s">
        <v>20</v>
      </c>
      <c r="C132" s="79"/>
      <c r="D132" s="79">
        <v>120</v>
      </c>
      <c r="E132" s="79">
        <v>120</v>
      </c>
      <c r="F132" s="79">
        <v>0</v>
      </c>
      <c r="G132" s="79">
        <v>0</v>
      </c>
      <c r="H132" s="79">
        <v>0</v>
      </c>
      <c r="I132" s="79">
        <v>0</v>
      </c>
      <c r="J132" s="79">
        <v>0</v>
      </c>
      <c r="K132" s="79">
        <v>0</v>
      </c>
      <c r="L132" s="79">
        <v>0</v>
      </c>
      <c r="M132" s="79">
        <v>0</v>
      </c>
      <c r="N132" s="79">
        <v>0</v>
      </c>
      <c r="O132" s="79">
        <v>0</v>
      </c>
      <c r="P132" s="79">
        <v>0</v>
      </c>
      <c r="Q132" s="79">
        <v>0</v>
      </c>
      <c r="R132" s="79">
        <v>0</v>
      </c>
      <c r="S132" s="79">
        <v>0</v>
      </c>
      <c r="T132" s="77">
        <v>0</v>
      </c>
      <c r="U132" s="80">
        <f>D132*T132/1000</f>
        <v>0</v>
      </c>
    </row>
    <row r="133" spans="1:22" x14ac:dyDescent="0.2">
      <c r="A133" s="9"/>
      <c r="B133" s="79" t="s">
        <v>15</v>
      </c>
      <c r="C133" s="79"/>
      <c r="D133" s="79">
        <v>20</v>
      </c>
      <c r="E133" s="79">
        <v>20</v>
      </c>
      <c r="F133" s="79">
        <v>0</v>
      </c>
      <c r="G133" s="79">
        <v>0</v>
      </c>
      <c r="H133" s="79">
        <f>99.8*E133/100</f>
        <v>19.96</v>
      </c>
      <c r="I133" s="79">
        <f>379*E133/100</f>
        <v>75.8</v>
      </c>
      <c r="J133" s="79">
        <f>3*E133/100</f>
        <v>0.6</v>
      </c>
      <c r="K133" s="79">
        <f>2*E133/100</f>
        <v>0.4</v>
      </c>
      <c r="L133" s="79">
        <v>0</v>
      </c>
      <c r="M133" s="79">
        <v>0</v>
      </c>
      <c r="N133" s="79">
        <v>0</v>
      </c>
      <c r="O133" s="79">
        <v>0</v>
      </c>
      <c r="P133" s="79">
        <v>0</v>
      </c>
      <c r="Q133" s="79">
        <v>0</v>
      </c>
      <c r="R133" s="79">
        <v>0</v>
      </c>
      <c r="S133" s="79">
        <v>0</v>
      </c>
      <c r="T133" s="77">
        <v>75.28</v>
      </c>
      <c r="U133" s="80">
        <f>D133*T133/1000</f>
        <v>1.5055999999999998</v>
      </c>
    </row>
    <row r="134" spans="1:22" x14ac:dyDescent="0.2">
      <c r="A134" s="9"/>
      <c r="B134" s="79" t="s">
        <v>14</v>
      </c>
      <c r="C134" s="79"/>
      <c r="D134" s="79">
        <v>100</v>
      </c>
      <c r="E134" s="79">
        <v>100</v>
      </c>
      <c r="F134" s="79">
        <f>2.8*E134/100</f>
        <v>2.8</v>
      </c>
      <c r="G134" s="79">
        <f>3.2*E134/100</f>
        <v>3.2</v>
      </c>
      <c r="H134" s="79">
        <f>4.7*E134/100</f>
        <v>4.7</v>
      </c>
      <c r="I134" s="79">
        <f>58*E134/100</f>
        <v>58</v>
      </c>
      <c r="J134" s="79">
        <f>146*E134/100</f>
        <v>146</v>
      </c>
      <c r="K134" s="79">
        <f>120*E134/100</f>
        <v>120</v>
      </c>
      <c r="L134" s="79">
        <f>14*E134/100</f>
        <v>14</v>
      </c>
      <c r="M134" s="79">
        <f>90*E134/100</f>
        <v>90</v>
      </c>
      <c r="N134" s="79">
        <f>0.1*E134/100</f>
        <v>0.1</v>
      </c>
      <c r="O134" s="79">
        <f>0.02*E134/100</f>
        <v>0.02</v>
      </c>
      <c r="P134" s="79">
        <f>0.04*E134/100</f>
        <v>0.04</v>
      </c>
      <c r="Q134" s="79">
        <f>0.15*E134/100</f>
        <v>0.15</v>
      </c>
      <c r="R134" s="79">
        <f>0.1*E134/100</f>
        <v>0.1</v>
      </c>
      <c r="S134" s="79">
        <f>1.3*E134/100</f>
        <v>1.3</v>
      </c>
      <c r="T134" s="77">
        <v>79.64</v>
      </c>
      <c r="U134" s="80">
        <f>D134*T134/1000</f>
        <v>7.9640000000000004</v>
      </c>
    </row>
    <row r="135" spans="1:22" x14ac:dyDescent="0.2">
      <c r="A135" s="6"/>
      <c r="B135" s="28" t="s">
        <v>25</v>
      </c>
      <c r="C135" s="17"/>
      <c r="D135" s="17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21"/>
      <c r="S135" s="16"/>
      <c r="T135" s="77"/>
      <c r="U135" s="130">
        <f>SUM(U131:U134)</f>
        <v>11.9696</v>
      </c>
    </row>
    <row r="136" spans="1:22" ht="25.5" x14ac:dyDescent="0.2">
      <c r="A136" s="6" t="s">
        <v>11</v>
      </c>
      <c r="B136" s="19" t="s">
        <v>174</v>
      </c>
      <c r="C136" s="160">
        <v>50</v>
      </c>
      <c r="D136" s="17" t="s">
        <v>100</v>
      </c>
      <c r="E136" s="4">
        <v>50</v>
      </c>
      <c r="F136" s="4">
        <f>0.8*E136/100</f>
        <v>0.4</v>
      </c>
      <c r="G136" s="4">
        <f>0.1*E136/100</f>
        <v>0.05</v>
      </c>
      <c r="H136" s="4">
        <f>79.8*E136/100</f>
        <v>39.9</v>
      </c>
      <c r="I136" s="4">
        <f>324*E136/100</f>
        <v>162</v>
      </c>
      <c r="J136" s="4">
        <f>46*E136/100</f>
        <v>23</v>
      </c>
      <c r="K136" s="4">
        <f>25*E136/100</f>
        <v>12.5</v>
      </c>
      <c r="L136" s="4">
        <f>6*E136/100</f>
        <v>3</v>
      </c>
      <c r="M136" s="4">
        <f>12*E136/100</f>
        <v>6</v>
      </c>
      <c r="N136" s="4">
        <f>1.4*E136/100</f>
        <v>0.7</v>
      </c>
      <c r="O136" s="4">
        <v>0</v>
      </c>
      <c r="P136" s="4">
        <v>0</v>
      </c>
      <c r="Q136" s="4">
        <v>0</v>
      </c>
      <c r="R136" s="21">
        <f>0.2*E136/100</f>
        <v>0.1</v>
      </c>
      <c r="S136" s="16">
        <v>0</v>
      </c>
      <c r="T136" s="77">
        <v>460</v>
      </c>
      <c r="U136" s="130">
        <f>E136*T136/1000</f>
        <v>23</v>
      </c>
      <c r="V136">
        <v>25</v>
      </c>
    </row>
    <row r="137" spans="1:22" x14ac:dyDescent="0.2">
      <c r="A137" s="6"/>
      <c r="B137" s="4" t="s">
        <v>12</v>
      </c>
      <c r="C137" s="82">
        <f>C113+C122+C127+C128+C129+C130+C136</f>
        <v>703</v>
      </c>
      <c r="D137" s="16"/>
      <c r="E137" s="16"/>
      <c r="F137" s="82">
        <f t="shared" ref="F137:S137" si="21">F113+F122+F127+F128+F129+F130+F136</f>
        <v>27.271600000000003</v>
      </c>
      <c r="G137" s="82">
        <f t="shared" si="21"/>
        <v>29.7712</v>
      </c>
      <c r="H137" s="82">
        <f t="shared" si="21"/>
        <v>169.79399999999998</v>
      </c>
      <c r="I137" s="82">
        <f t="shared" si="21"/>
        <v>1077.231</v>
      </c>
      <c r="J137" s="82">
        <f t="shared" si="21"/>
        <v>828.39</v>
      </c>
      <c r="K137" s="82">
        <f t="shared" si="21"/>
        <v>357.84000000000003</v>
      </c>
      <c r="L137" s="82">
        <f t="shared" si="21"/>
        <v>116.59</v>
      </c>
      <c r="M137" s="82">
        <f t="shared" si="21"/>
        <v>400.11</v>
      </c>
      <c r="N137" s="82">
        <f t="shared" si="21"/>
        <v>4.8490000000000002</v>
      </c>
      <c r="O137" s="82">
        <f t="shared" si="21"/>
        <v>27.636499999999998</v>
      </c>
      <c r="P137" s="82">
        <f t="shared" si="21"/>
        <v>7.7600000000000002E-2</v>
      </c>
      <c r="Q137" s="82">
        <f t="shared" si="21"/>
        <v>0.55820000000000003</v>
      </c>
      <c r="R137" s="82">
        <f t="shared" si="21"/>
        <v>2.246</v>
      </c>
      <c r="S137" s="82">
        <f t="shared" si="21"/>
        <v>14.22</v>
      </c>
      <c r="T137" s="16"/>
      <c r="U137" s="33">
        <f>U121+U126+U127+U128+U129+U135+U136</f>
        <v>103.256288</v>
      </c>
    </row>
    <row r="138" spans="1:22" ht="15.75" x14ac:dyDescent="0.25">
      <c r="A138" s="185" t="s">
        <v>86</v>
      </c>
      <c r="B138" s="186"/>
      <c r="C138" s="186"/>
      <c r="D138" s="186"/>
      <c r="E138" s="186"/>
      <c r="F138" s="186"/>
      <c r="G138" s="186"/>
      <c r="H138" s="186"/>
      <c r="I138" s="186"/>
      <c r="J138" s="186"/>
      <c r="K138" s="186"/>
      <c r="L138" s="186"/>
      <c r="M138" s="186"/>
      <c r="N138" s="186"/>
      <c r="O138" s="186"/>
      <c r="P138" s="186"/>
      <c r="Q138" s="186"/>
      <c r="R138" s="186"/>
      <c r="S138" s="186"/>
      <c r="T138" s="186"/>
      <c r="U138" s="187"/>
    </row>
    <row r="139" spans="1:22" x14ac:dyDescent="0.2">
      <c r="A139" s="6"/>
      <c r="B139" s="17" t="s">
        <v>80</v>
      </c>
      <c r="C139" s="17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61"/>
      <c r="P139" s="16"/>
      <c r="Q139" s="16"/>
      <c r="R139" s="18"/>
      <c r="S139" s="16"/>
      <c r="T139" s="16"/>
      <c r="U139" s="16"/>
    </row>
    <row r="140" spans="1:22" x14ac:dyDescent="0.2">
      <c r="A140" s="6"/>
      <c r="B140" s="17" t="s">
        <v>0</v>
      </c>
      <c r="C140" s="17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61"/>
      <c r="P140" s="16"/>
      <c r="Q140" s="16"/>
      <c r="R140" s="18"/>
      <c r="S140" s="16"/>
      <c r="T140" s="16"/>
      <c r="U140" s="16"/>
    </row>
    <row r="141" spans="1:22" ht="20.25" customHeight="1" x14ac:dyDescent="0.2">
      <c r="A141" s="1" t="s">
        <v>127</v>
      </c>
      <c r="B141" s="84" t="s">
        <v>128</v>
      </c>
      <c r="C141" s="85">
        <v>116</v>
      </c>
      <c r="D141" s="78"/>
      <c r="E141" s="86"/>
      <c r="F141" s="86">
        <f>F142+F143+F144+F145</f>
        <v>11.112</v>
      </c>
      <c r="G141" s="86">
        <f t="shared" ref="G141:S141" si="22">G142+G143+G144+G145</f>
        <v>20.310000000000002</v>
      </c>
      <c r="H141" s="86">
        <f t="shared" si="22"/>
        <v>1.5919999999999999</v>
      </c>
      <c r="I141" s="86">
        <f t="shared" si="22"/>
        <v>235.54000000000002</v>
      </c>
      <c r="J141" s="86">
        <f t="shared" si="22"/>
        <v>159.02000000000001</v>
      </c>
      <c r="K141" s="86">
        <f t="shared" si="22"/>
        <v>83.08</v>
      </c>
      <c r="L141" s="86">
        <f t="shared" si="22"/>
        <v>14.22</v>
      </c>
      <c r="M141" s="86">
        <f t="shared" si="22"/>
        <v>183.26</v>
      </c>
      <c r="N141" s="86">
        <f t="shared" si="22"/>
        <v>2.028</v>
      </c>
      <c r="O141" s="86">
        <f t="shared" si="22"/>
        <v>7.0000000000000007E-2</v>
      </c>
      <c r="P141" s="86">
        <f t="shared" si="22"/>
        <v>0</v>
      </c>
      <c r="Q141" s="86">
        <f t="shared" si="22"/>
        <v>0</v>
      </c>
      <c r="R141" s="87">
        <f t="shared" si="22"/>
        <v>0</v>
      </c>
      <c r="S141" s="86">
        <f t="shared" si="22"/>
        <v>0.39</v>
      </c>
      <c r="T141" s="77"/>
      <c r="U141" s="78"/>
    </row>
    <row r="142" spans="1:22" ht="12" customHeight="1" x14ac:dyDescent="0.2">
      <c r="A142" s="1"/>
      <c r="B142" s="88" t="s">
        <v>129</v>
      </c>
      <c r="C142" s="89"/>
      <c r="D142" s="78">
        <v>80</v>
      </c>
      <c r="E142" s="78">
        <v>80</v>
      </c>
      <c r="F142" s="78">
        <f>12.7*E142/100</f>
        <v>10.16</v>
      </c>
      <c r="G142" s="78">
        <f>11.5*E142/100</f>
        <v>9.1999999999999993</v>
      </c>
      <c r="H142" s="78">
        <v>0</v>
      </c>
      <c r="I142" s="78">
        <f>157*E142/100</f>
        <v>125.6</v>
      </c>
      <c r="J142" s="78">
        <f>140*E142/100</f>
        <v>112</v>
      </c>
      <c r="K142" s="78">
        <f>55*E142/100</f>
        <v>44</v>
      </c>
      <c r="L142" s="78">
        <f>12*E142/100</f>
        <v>9.6</v>
      </c>
      <c r="M142" s="78">
        <f>192*E142/100</f>
        <v>153.6</v>
      </c>
      <c r="N142" s="78">
        <f>2.5*E142/100</f>
        <v>2</v>
      </c>
      <c r="O142" s="78">
        <v>0</v>
      </c>
      <c r="P142" s="78">
        <v>0</v>
      </c>
      <c r="Q142" s="78">
        <v>0</v>
      </c>
      <c r="R142" s="90">
        <v>0</v>
      </c>
      <c r="S142" s="78">
        <v>0</v>
      </c>
      <c r="T142" s="77">
        <v>10.3</v>
      </c>
      <c r="U142" s="80">
        <f>D142*T142/40</f>
        <v>20.6</v>
      </c>
    </row>
    <row r="143" spans="1:22" x14ac:dyDescent="0.2">
      <c r="A143" s="1"/>
      <c r="B143" s="88" t="s">
        <v>20</v>
      </c>
      <c r="C143" s="89"/>
      <c r="D143" s="78">
        <v>30</v>
      </c>
      <c r="E143" s="78">
        <v>30</v>
      </c>
      <c r="F143" s="91">
        <f>2.8*E143/100</f>
        <v>0.84</v>
      </c>
      <c r="G143" s="91">
        <f>3.2*E143/100</f>
        <v>0.96</v>
      </c>
      <c r="H143" s="91">
        <f>4.7*E143/100</f>
        <v>1.41</v>
      </c>
      <c r="I143" s="91">
        <f>58*E143/100</f>
        <v>17.399999999999999</v>
      </c>
      <c r="J143" s="91">
        <f>146*E143/100</f>
        <v>43.8</v>
      </c>
      <c r="K143" s="92">
        <f>120*E143/100</f>
        <v>36</v>
      </c>
      <c r="L143" s="91">
        <f>14*E143/100</f>
        <v>4.2</v>
      </c>
      <c r="M143" s="92">
        <f>90*E143/100</f>
        <v>27</v>
      </c>
      <c r="N143" s="91">
        <v>0</v>
      </c>
      <c r="O143" s="91">
        <v>0</v>
      </c>
      <c r="P143" s="91">
        <v>0</v>
      </c>
      <c r="Q143" s="91">
        <v>0</v>
      </c>
      <c r="R143" s="93">
        <v>0</v>
      </c>
      <c r="S143" s="91">
        <f>1.3*E143/100</f>
        <v>0.39</v>
      </c>
      <c r="T143" s="77">
        <v>0</v>
      </c>
      <c r="U143" s="80">
        <f>D143*T143/40</f>
        <v>0</v>
      </c>
    </row>
    <row r="144" spans="1:22" x14ac:dyDescent="0.2">
      <c r="A144" s="1"/>
      <c r="B144" s="88" t="s">
        <v>24</v>
      </c>
      <c r="C144" s="89"/>
      <c r="D144" s="78">
        <v>1</v>
      </c>
      <c r="E144" s="78">
        <v>1</v>
      </c>
      <c r="F144" s="78">
        <v>0</v>
      </c>
      <c r="G144" s="78">
        <v>0</v>
      </c>
      <c r="H144" s="78">
        <v>0</v>
      </c>
      <c r="I144" s="78">
        <v>0</v>
      </c>
      <c r="J144" s="78">
        <v>0</v>
      </c>
      <c r="K144" s="78">
        <v>0</v>
      </c>
      <c r="L144" s="78">
        <v>0</v>
      </c>
      <c r="M144" s="78">
        <v>0</v>
      </c>
      <c r="N144" s="78">
        <v>0</v>
      </c>
      <c r="O144" s="78">
        <v>0</v>
      </c>
      <c r="P144" s="78">
        <v>0</v>
      </c>
      <c r="Q144" s="78">
        <v>0</v>
      </c>
      <c r="R144" s="90">
        <v>0</v>
      </c>
      <c r="S144" s="78">
        <v>0</v>
      </c>
      <c r="T144" s="77">
        <v>20.87</v>
      </c>
      <c r="U144" s="80">
        <f>D144*T144/1000</f>
        <v>2.087E-2</v>
      </c>
    </row>
    <row r="145" spans="1:21" x14ac:dyDescent="0.2">
      <c r="A145" s="1"/>
      <c r="B145" s="88" t="s">
        <v>46</v>
      </c>
      <c r="C145" s="89"/>
      <c r="D145" s="78">
        <v>14</v>
      </c>
      <c r="E145" s="78">
        <v>14</v>
      </c>
      <c r="F145" s="16">
        <f>0.8*D145/100</f>
        <v>0.11200000000000002</v>
      </c>
      <c r="G145" s="16">
        <f>72.5*D145/100</f>
        <v>10.15</v>
      </c>
      <c r="H145" s="16">
        <f>1.3*D145/100</f>
        <v>0.182</v>
      </c>
      <c r="I145" s="16">
        <f>661*D145/100</f>
        <v>92.54</v>
      </c>
      <c r="J145" s="26">
        <f>23*D145/100</f>
        <v>3.22</v>
      </c>
      <c r="K145" s="16">
        <f>22*D145/100</f>
        <v>3.08</v>
      </c>
      <c r="L145" s="26">
        <f>3*D145/100</f>
        <v>0.42</v>
      </c>
      <c r="M145" s="16">
        <f>19*E145/100</f>
        <v>2.66</v>
      </c>
      <c r="N145" s="16">
        <f>0.2*E145/100</f>
        <v>2.8000000000000004E-2</v>
      </c>
      <c r="O145" s="16">
        <f>0.5*E145/100</f>
        <v>7.0000000000000007E-2</v>
      </c>
      <c r="P145" s="16">
        <v>0</v>
      </c>
      <c r="Q145" s="16">
        <v>0</v>
      </c>
      <c r="R145" s="18">
        <v>0</v>
      </c>
      <c r="S145" s="16">
        <v>0</v>
      </c>
      <c r="T145" s="77">
        <v>800</v>
      </c>
      <c r="U145" s="80">
        <f>D145*T145/1000</f>
        <v>11.2</v>
      </c>
    </row>
    <row r="146" spans="1:21" s="56" customFormat="1" x14ac:dyDescent="0.2">
      <c r="A146" s="1"/>
      <c r="B146" s="95" t="s">
        <v>25</v>
      </c>
      <c r="C146" s="96"/>
      <c r="D146" s="97"/>
      <c r="E146" s="97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7"/>
      <c r="S146" s="86"/>
      <c r="T146" s="77"/>
      <c r="U146" s="81">
        <f>U142+U143+U144+U145</f>
        <v>31.820869999999999</v>
      </c>
    </row>
    <row r="147" spans="1:21" ht="25.5" x14ac:dyDescent="0.2">
      <c r="A147" s="1" t="s">
        <v>91</v>
      </c>
      <c r="B147" s="98" t="s">
        <v>130</v>
      </c>
      <c r="C147" s="99">
        <v>60</v>
      </c>
      <c r="D147" s="78"/>
      <c r="E147" s="78"/>
      <c r="F147" s="86">
        <f>F148</f>
        <v>1.1399999999999999</v>
      </c>
      <c r="G147" s="86">
        <f t="shared" ref="G147:S147" si="23">G148</f>
        <v>5.34</v>
      </c>
      <c r="H147" s="86">
        <f t="shared" si="23"/>
        <v>4.62</v>
      </c>
      <c r="I147" s="86">
        <f t="shared" si="23"/>
        <v>71.400000000000006</v>
      </c>
      <c r="J147" s="86">
        <f t="shared" si="23"/>
        <v>189</v>
      </c>
      <c r="K147" s="86">
        <f t="shared" si="23"/>
        <v>24.6</v>
      </c>
      <c r="L147" s="86">
        <f t="shared" si="23"/>
        <v>9</v>
      </c>
      <c r="M147" s="86">
        <f t="shared" si="23"/>
        <v>22.2</v>
      </c>
      <c r="N147" s="86">
        <f t="shared" si="23"/>
        <v>0.42</v>
      </c>
      <c r="O147" s="86">
        <f t="shared" si="23"/>
        <v>0</v>
      </c>
      <c r="P147" s="86">
        <f t="shared" si="23"/>
        <v>0</v>
      </c>
      <c r="Q147" s="86">
        <f t="shared" si="23"/>
        <v>0</v>
      </c>
      <c r="R147" s="87">
        <f t="shared" si="23"/>
        <v>0</v>
      </c>
      <c r="S147" s="86">
        <f t="shared" si="23"/>
        <v>4.2</v>
      </c>
      <c r="T147" s="77"/>
      <c r="U147" s="78"/>
    </row>
    <row r="148" spans="1:21" x14ac:dyDescent="0.2">
      <c r="A148" s="1"/>
      <c r="B148" s="88" t="s">
        <v>92</v>
      </c>
      <c r="C148" s="100"/>
      <c r="D148" s="78">
        <v>65</v>
      </c>
      <c r="E148" s="78">
        <v>60</v>
      </c>
      <c r="F148" s="78">
        <f>1.9*E148/100</f>
        <v>1.1399999999999999</v>
      </c>
      <c r="G148" s="78">
        <f>8.9*E148/100</f>
        <v>5.34</v>
      </c>
      <c r="H148" s="78">
        <f>7.7*E148/100</f>
        <v>4.62</v>
      </c>
      <c r="I148" s="78">
        <f>119*E148/100</f>
        <v>71.400000000000006</v>
      </c>
      <c r="J148" s="78">
        <f>315*E148/100</f>
        <v>189</v>
      </c>
      <c r="K148" s="78">
        <f>41*E148/100</f>
        <v>24.6</v>
      </c>
      <c r="L148" s="78">
        <f>15*E148/100</f>
        <v>9</v>
      </c>
      <c r="M148" s="78">
        <f>37*E148/100</f>
        <v>22.2</v>
      </c>
      <c r="N148" s="78">
        <f>0.7*E148/100</f>
        <v>0.42</v>
      </c>
      <c r="O148" s="78">
        <v>0</v>
      </c>
      <c r="P148" s="78">
        <v>0</v>
      </c>
      <c r="Q148" s="78">
        <v>0</v>
      </c>
      <c r="R148" s="90">
        <v>0</v>
      </c>
      <c r="S148" s="78">
        <f>7*E148/100</f>
        <v>4.2</v>
      </c>
      <c r="T148" s="77">
        <v>180</v>
      </c>
      <c r="U148" s="78">
        <f>D148*T148/1000</f>
        <v>11.7</v>
      </c>
    </row>
    <row r="149" spans="1:21" x14ac:dyDescent="0.2">
      <c r="A149" s="1"/>
      <c r="B149" s="95" t="s">
        <v>25</v>
      </c>
      <c r="C149" s="101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90"/>
      <c r="S149" s="78"/>
      <c r="T149" s="77"/>
      <c r="U149" s="78"/>
    </row>
    <row r="150" spans="1:21" ht="25.5" x14ac:dyDescent="0.2">
      <c r="A150" s="74" t="s">
        <v>106</v>
      </c>
      <c r="B150" s="72" t="s">
        <v>107</v>
      </c>
      <c r="C150" s="4">
        <v>50</v>
      </c>
      <c r="D150" s="16"/>
      <c r="E150" s="4"/>
      <c r="F150" s="4">
        <v>5.76</v>
      </c>
      <c r="G150" s="4">
        <v>8.85</v>
      </c>
      <c r="H150" s="4">
        <v>14.9</v>
      </c>
      <c r="I150" s="4">
        <v>165.7</v>
      </c>
      <c r="J150" s="4">
        <f t="shared" ref="J150:S150" si="24">J151+J152+J153</f>
        <v>58.75</v>
      </c>
      <c r="K150" s="4">
        <f t="shared" si="24"/>
        <v>164.9</v>
      </c>
      <c r="L150" s="4">
        <f t="shared" si="24"/>
        <v>10.65</v>
      </c>
      <c r="M150" s="4">
        <f t="shared" si="24"/>
        <v>107.44999999999999</v>
      </c>
      <c r="N150" s="4">
        <f t="shared" si="24"/>
        <v>0.49</v>
      </c>
      <c r="O150" s="4">
        <f t="shared" si="24"/>
        <v>5.6500000000000002E-2</v>
      </c>
      <c r="P150" s="4">
        <f t="shared" si="24"/>
        <v>0</v>
      </c>
      <c r="Q150" s="4">
        <f t="shared" si="24"/>
        <v>5.7000000000000002E-2</v>
      </c>
      <c r="R150" s="21">
        <f t="shared" si="24"/>
        <v>0.52200000000000002</v>
      </c>
      <c r="S150" s="4">
        <f t="shared" si="24"/>
        <v>0.42</v>
      </c>
      <c r="T150" s="16"/>
      <c r="U150" s="24"/>
    </row>
    <row r="151" spans="1:21" x14ac:dyDescent="0.2">
      <c r="A151" s="4"/>
      <c r="B151" s="27" t="s">
        <v>108</v>
      </c>
      <c r="C151" s="16"/>
      <c r="D151" s="16">
        <v>16</v>
      </c>
      <c r="E151" s="16">
        <v>15</v>
      </c>
      <c r="F151" s="16">
        <f>23*E151/100</f>
        <v>3.45</v>
      </c>
      <c r="G151" s="16">
        <f>29*E151/100</f>
        <v>4.3499999999999996</v>
      </c>
      <c r="H151" s="16">
        <v>0</v>
      </c>
      <c r="I151" s="16">
        <f>360*E151/100</f>
        <v>54</v>
      </c>
      <c r="J151" s="25">
        <f>130*E151/100</f>
        <v>19.5</v>
      </c>
      <c r="K151" s="16">
        <f>1040*E151/100</f>
        <v>156</v>
      </c>
      <c r="L151" s="16">
        <v>0</v>
      </c>
      <c r="M151" s="16">
        <f>544*E151/100</f>
        <v>81.599999999999994</v>
      </c>
      <c r="N151" s="16">
        <v>0</v>
      </c>
      <c r="O151" s="16">
        <f>0.21*E151/100</f>
        <v>3.15E-2</v>
      </c>
      <c r="P151" s="16">
        <v>0</v>
      </c>
      <c r="Q151" s="16">
        <f>0.38*E151/100</f>
        <v>5.7000000000000002E-2</v>
      </c>
      <c r="R151" s="18">
        <f>0.4*E151/100</f>
        <v>0.06</v>
      </c>
      <c r="S151" s="16">
        <f>2.8*E151/100</f>
        <v>0.42</v>
      </c>
      <c r="T151" s="16">
        <v>740</v>
      </c>
      <c r="U151" s="24">
        <f>D151*T151/1000</f>
        <v>11.84</v>
      </c>
    </row>
    <row r="152" spans="1:21" x14ac:dyDescent="0.2">
      <c r="A152" s="4"/>
      <c r="B152" s="43" t="s">
        <v>22</v>
      </c>
      <c r="C152" s="22"/>
      <c r="D152" s="16">
        <v>5</v>
      </c>
      <c r="E152" s="16">
        <v>5</v>
      </c>
      <c r="F152" s="16">
        <f>0.8*D152/100</f>
        <v>0.04</v>
      </c>
      <c r="G152" s="16">
        <f>72.5*D152/100</f>
        <v>3.625</v>
      </c>
      <c r="H152" s="16">
        <f>1.3*D152/100</f>
        <v>6.5000000000000002E-2</v>
      </c>
      <c r="I152" s="16">
        <f>661*D152/100</f>
        <v>33.049999999999997</v>
      </c>
      <c r="J152" s="26">
        <f>23*D152/100</f>
        <v>1.1499999999999999</v>
      </c>
      <c r="K152" s="16">
        <f>22*D152/100</f>
        <v>1.1000000000000001</v>
      </c>
      <c r="L152" s="26">
        <f>3*D152/100</f>
        <v>0.15</v>
      </c>
      <c r="M152" s="16">
        <f>19*E152/100</f>
        <v>0.95</v>
      </c>
      <c r="N152" s="16">
        <f>0.2*E152/100</f>
        <v>0.01</v>
      </c>
      <c r="O152" s="16">
        <f>0.5*E152/100</f>
        <v>2.5000000000000001E-2</v>
      </c>
      <c r="P152" s="16">
        <v>0</v>
      </c>
      <c r="Q152" s="16">
        <v>0</v>
      </c>
      <c r="R152" s="18">
        <v>0</v>
      </c>
      <c r="S152" s="16">
        <v>0</v>
      </c>
      <c r="T152" s="16">
        <v>800</v>
      </c>
      <c r="U152" s="24">
        <f>D152*T152/1000</f>
        <v>4</v>
      </c>
    </row>
    <row r="153" spans="1:21" x14ac:dyDescent="0.2">
      <c r="A153" s="4"/>
      <c r="B153" s="27" t="s">
        <v>109</v>
      </c>
      <c r="C153" s="16"/>
      <c r="D153" s="16">
        <v>30</v>
      </c>
      <c r="E153" s="16">
        <v>30</v>
      </c>
      <c r="F153" s="16">
        <f>7.7*E153/100</f>
        <v>2.31</v>
      </c>
      <c r="G153" s="16">
        <f>3*E153/100</f>
        <v>0.9</v>
      </c>
      <c r="H153" s="16">
        <f>49.8*E153/100</f>
        <v>14.94</v>
      </c>
      <c r="I153" s="16">
        <f>262*E153/100</f>
        <v>78.599999999999994</v>
      </c>
      <c r="J153" s="16">
        <f>127*E153/100</f>
        <v>38.1</v>
      </c>
      <c r="K153" s="16">
        <f>26*E153/100</f>
        <v>7.8</v>
      </c>
      <c r="L153" s="16">
        <f>35*E153/100</f>
        <v>10.5</v>
      </c>
      <c r="M153" s="16">
        <f>83*E153/100</f>
        <v>24.9</v>
      </c>
      <c r="N153" s="16">
        <f>1.6*E153/100</f>
        <v>0.48</v>
      </c>
      <c r="O153" s="16">
        <v>0</v>
      </c>
      <c r="P153" s="16">
        <v>0</v>
      </c>
      <c r="Q153" s="16">
        <v>0</v>
      </c>
      <c r="R153" s="18">
        <f>1.54*E153/100</f>
        <v>0.46200000000000002</v>
      </c>
      <c r="S153" s="16">
        <v>0</v>
      </c>
      <c r="T153" s="16">
        <v>50</v>
      </c>
      <c r="U153" s="24">
        <f>D153*T153/1000</f>
        <v>1.5</v>
      </c>
    </row>
    <row r="154" spans="1:21" x14ac:dyDescent="0.2">
      <c r="A154" s="71"/>
      <c r="B154" s="28" t="s">
        <v>25</v>
      </c>
      <c r="C154" s="28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61"/>
      <c r="P154" s="16"/>
      <c r="Q154" s="16"/>
      <c r="R154" s="18"/>
      <c r="S154" s="16"/>
      <c r="T154" s="16"/>
      <c r="U154" s="32">
        <f>SUM(U151:U153)</f>
        <v>17.34</v>
      </c>
    </row>
    <row r="155" spans="1:21" x14ac:dyDescent="0.2">
      <c r="A155" s="4" t="s">
        <v>55</v>
      </c>
      <c r="B155" s="72" t="s">
        <v>54</v>
      </c>
      <c r="C155" s="19">
        <v>207</v>
      </c>
      <c r="D155" s="16"/>
      <c r="E155" s="4"/>
      <c r="F155" s="4">
        <v>0.1</v>
      </c>
      <c r="G155" s="4">
        <v>0</v>
      </c>
      <c r="H155" s="4">
        <v>15.2</v>
      </c>
      <c r="I155" s="4">
        <v>60</v>
      </c>
      <c r="J155" s="4">
        <v>24.3</v>
      </c>
      <c r="K155" s="4">
        <v>5.7</v>
      </c>
      <c r="L155" s="4">
        <v>3</v>
      </c>
      <c r="M155" s="4">
        <v>5.6</v>
      </c>
      <c r="N155" s="4">
        <v>0.4</v>
      </c>
      <c r="O155" s="4">
        <v>0</v>
      </c>
      <c r="P155" s="4">
        <v>0</v>
      </c>
      <c r="Q155" s="4">
        <v>0</v>
      </c>
      <c r="R155" s="21">
        <v>0</v>
      </c>
      <c r="S155" s="4">
        <v>2.8</v>
      </c>
      <c r="T155" s="61"/>
      <c r="U155" s="16"/>
    </row>
    <row r="156" spans="1:21" x14ac:dyDescent="0.2">
      <c r="A156" s="4"/>
      <c r="B156" s="43" t="s">
        <v>110</v>
      </c>
      <c r="C156" s="22"/>
      <c r="D156" s="16">
        <v>50</v>
      </c>
      <c r="E156" s="16">
        <v>50</v>
      </c>
      <c r="F156" s="16">
        <v>0.1</v>
      </c>
      <c r="G156" s="16">
        <v>0</v>
      </c>
      <c r="H156" s="16">
        <v>0</v>
      </c>
      <c r="I156" s="16">
        <v>0.8</v>
      </c>
      <c r="J156" s="16">
        <v>12.4</v>
      </c>
      <c r="K156" s="16">
        <v>2.5</v>
      </c>
      <c r="L156" s="16">
        <v>2.2000000000000002</v>
      </c>
      <c r="M156" s="16">
        <v>4.0999999999999996</v>
      </c>
      <c r="N156" s="16">
        <v>0.4</v>
      </c>
      <c r="O156" s="16">
        <v>0</v>
      </c>
      <c r="P156" s="16">
        <v>0</v>
      </c>
      <c r="Q156" s="16">
        <v>0</v>
      </c>
      <c r="R156" s="18">
        <v>0</v>
      </c>
      <c r="S156" s="16">
        <v>0</v>
      </c>
      <c r="T156" s="61"/>
      <c r="U156" s="16"/>
    </row>
    <row r="157" spans="1:21" x14ac:dyDescent="0.2">
      <c r="A157" s="4"/>
      <c r="B157" s="43" t="s">
        <v>111</v>
      </c>
      <c r="C157" s="22"/>
      <c r="D157" s="16">
        <v>0.5</v>
      </c>
      <c r="E157" s="16">
        <v>0.5</v>
      </c>
      <c r="F157" s="16">
        <v>0</v>
      </c>
      <c r="G157" s="16">
        <v>0</v>
      </c>
      <c r="H157" s="16">
        <v>15</v>
      </c>
      <c r="I157" s="16">
        <v>56.8</v>
      </c>
      <c r="J157" s="16">
        <v>0.5</v>
      </c>
      <c r="K157" s="16">
        <v>0.4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8">
        <v>0</v>
      </c>
      <c r="S157" s="16">
        <v>0</v>
      </c>
      <c r="T157" s="61">
        <v>1100</v>
      </c>
      <c r="U157" s="24">
        <f>D157*T157/1000</f>
        <v>0.55000000000000004</v>
      </c>
    </row>
    <row r="158" spans="1:21" x14ac:dyDescent="0.2">
      <c r="A158" s="4"/>
      <c r="B158" s="43" t="s">
        <v>20</v>
      </c>
      <c r="C158" s="22"/>
      <c r="D158" s="16">
        <v>150</v>
      </c>
      <c r="E158" s="16">
        <v>150</v>
      </c>
      <c r="F158" s="16">
        <v>0</v>
      </c>
      <c r="G158" s="16">
        <v>0</v>
      </c>
      <c r="H158" s="16">
        <v>0.2</v>
      </c>
      <c r="I158" s="16">
        <v>2.4</v>
      </c>
      <c r="J158" s="16">
        <v>11.4</v>
      </c>
      <c r="K158" s="16">
        <v>2.8</v>
      </c>
      <c r="L158" s="16">
        <v>0.8</v>
      </c>
      <c r="M158" s="16">
        <v>1.5</v>
      </c>
      <c r="N158" s="16">
        <v>0</v>
      </c>
      <c r="O158" s="16">
        <v>0</v>
      </c>
      <c r="P158" s="16">
        <v>0</v>
      </c>
      <c r="Q158" s="16">
        <v>0</v>
      </c>
      <c r="R158" s="18">
        <v>0</v>
      </c>
      <c r="S158" s="16">
        <v>2.8</v>
      </c>
      <c r="T158" s="61">
        <v>0</v>
      </c>
      <c r="U158" s="24">
        <f>D158*T158/1000</f>
        <v>0</v>
      </c>
    </row>
    <row r="159" spans="1:21" x14ac:dyDescent="0.2">
      <c r="A159" s="4"/>
      <c r="B159" s="43" t="s">
        <v>15</v>
      </c>
      <c r="C159" s="22"/>
      <c r="D159" s="16">
        <v>15</v>
      </c>
      <c r="E159" s="16">
        <v>15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8">
        <v>0</v>
      </c>
      <c r="S159" s="16">
        <v>0</v>
      </c>
      <c r="T159" s="61">
        <v>75.28</v>
      </c>
      <c r="U159" s="24">
        <f>D159*T159/1000</f>
        <v>1.1292</v>
      </c>
    </row>
    <row r="160" spans="1:21" x14ac:dyDescent="0.2">
      <c r="A160" s="4"/>
      <c r="B160" s="43" t="s">
        <v>48</v>
      </c>
      <c r="C160" s="22"/>
      <c r="D160" s="16">
        <v>8</v>
      </c>
      <c r="E160" s="16">
        <v>7</v>
      </c>
      <c r="F160" s="16">
        <v>0</v>
      </c>
      <c r="G160" s="16">
        <v>0</v>
      </c>
      <c r="H160" s="16">
        <f>3*D160/100</f>
        <v>0.24</v>
      </c>
      <c r="I160" s="16">
        <f>34*D160/100</f>
        <v>2.72</v>
      </c>
      <c r="J160" s="16">
        <f>163*D160/100</f>
        <v>13.04</v>
      </c>
      <c r="K160" s="16">
        <f>40*D160/100</f>
        <v>3.2</v>
      </c>
      <c r="L160" s="16">
        <f>12*D160/100</f>
        <v>0.96</v>
      </c>
      <c r="M160" s="16">
        <f>22*D160/100</f>
        <v>1.76</v>
      </c>
      <c r="N160" s="16">
        <v>0</v>
      </c>
      <c r="O160" s="16">
        <v>0</v>
      </c>
      <c r="P160" s="16">
        <v>0</v>
      </c>
      <c r="Q160" s="16">
        <v>0</v>
      </c>
      <c r="R160" s="18">
        <v>0</v>
      </c>
      <c r="S160" s="16">
        <f>40*D160/100</f>
        <v>3.2</v>
      </c>
      <c r="T160" s="61">
        <v>160</v>
      </c>
      <c r="U160" s="24">
        <f>D160*T160/1000</f>
        <v>1.28</v>
      </c>
    </row>
    <row r="161" spans="1:21" x14ac:dyDescent="0.2">
      <c r="A161" s="4"/>
      <c r="B161" s="37" t="s">
        <v>25</v>
      </c>
      <c r="C161" s="28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8"/>
      <c r="S161" s="16"/>
      <c r="T161" s="61"/>
      <c r="U161" s="129">
        <f>SUM(U157:U160)</f>
        <v>2.9592000000000001</v>
      </c>
    </row>
    <row r="162" spans="1:21" x14ac:dyDescent="0.2">
      <c r="A162" s="71" t="s">
        <v>11</v>
      </c>
      <c r="B162" s="19" t="s">
        <v>1</v>
      </c>
      <c r="C162" s="19">
        <v>50</v>
      </c>
      <c r="D162" s="16">
        <v>50</v>
      </c>
      <c r="E162" s="16">
        <v>50</v>
      </c>
      <c r="F162" s="4">
        <f>7.7*E162/100</f>
        <v>3.85</v>
      </c>
      <c r="G162" s="4">
        <v>5.6</v>
      </c>
      <c r="H162" s="4">
        <f>49.8*E162/100</f>
        <v>24.9</v>
      </c>
      <c r="I162" s="4">
        <f>262*E162/100</f>
        <v>131</v>
      </c>
      <c r="J162" s="4">
        <f>127*E162/100</f>
        <v>63.5</v>
      </c>
      <c r="K162" s="4">
        <f>26*E162/100</f>
        <v>13</v>
      </c>
      <c r="L162" s="4">
        <f>35*E162/100</f>
        <v>17.5</v>
      </c>
      <c r="M162" s="4">
        <f>83*E162/100</f>
        <v>41.5</v>
      </c>
      <c r="N162" s="4">
        <f>1.6*E162/100</f>
        <v>0.8</v>
      </c>
      <c r="O162" s="64">
        <v>0</v>
      </c>
      <c r="P162" s="4">
        <f>0.16*E162/100</f>
        <v>0.08</v>
      </c>
      <c r="Q162" s="4">
        <f>0.08*E162/100</f>
        <v>0.04</v>
      </c>
      <c r="R162" s="21">
        <f>1.54*E162/100</f>
        <v>0.77</v>
      </c>
      <c r="S162" s="4">
        <v>0</v>
      </c>
      <c r="T162" s="16">
        <v>50</v>
      </c>
      <c r="U162" s="24">
        <f>E162*T162/1000</f>
        <v>2.5</v>
      </c>
    </row>
    <row r="163" spans="1:21" x14ac:dyDescent="0.2">
      <c r="A163" s="4" t="s">
        <v>98</v>
      </c>
      <c r="B163" s="19" t="s">
        <v>99</v>
      </c>
      <c r="C163" s="19">
        <v>50</v>
      </c>
      <c r="D163" s="16">
        <v>50</v>
      </c>
      <c r="E163" s="16">
        <v>50</v>
      </c>
      <c r="F163" s="4">
        <f>6.6*E163/100</f>
        <v>3.3</v>
      </c>
      <c r="G163" s="4">
        <f>1.2*E163/100</f>
        <v>0.6</v>
      </c>
      <c r="H163" s="4">
        <f>34.2*E163/100</f>
        <v>17.100000000000001</v>
      </c>
      <c r="I163" s="4">
        <f>181*E163/100</f>
        <v>90.5</v>
      </c>
      <c r="J163" s="4">
        <f>94*E163/100</f>
        <v>47</v>
      </c>
      <c r="K163" s="4">
        <f>34*E163/100</f>
        <v>17</v>
      </c>
      <c r="L163" s="4">
        <f>41*E163/100</f>
        <v>20.5</v>
      </c>
      <c r="M163" s="4">
        <f>120*E163/100</f>
        <v>60</v>
      </c>
      <c r="N163" s="4">
        <f>2.3*E163/100</f>
        <v>1.1499999999999999</v>
      </c>
      <c r="O163" s="64">
        <v>0</v>
      </c>
      <c r="P163" s="4">
        <v>0</v>
      </c>
      <c r="Q163" s="4">
        <v>0</v>
      </c>
      <c r="R163" s="21">
        <v>0</v>
      </c>
      <c r="S163" s="4">
        <v>0</v>
      </c>
      <c r="T163" s="16">
        <v>60</v>
      </c>
      <c r="U163" s="24">
        <f>E163*T163/1000</f>
        <v>3</v>
      </c>
    </row>
    <row r="164" spans="1:21" ht="16.5" customHeight="1" x14ac:dyDescent="0.2">
      <c r="A164" s="6" t="s">
        <v>11</v>
      </c>
      <c r="B164" s="19" t="s">
        <v>103</v>
      </c>
      <c r="C164" s="19">
        <v>180</v>
      </c>
      <c r="D164" s="41" t="s">
        <v>26</v>
      </c>
      <c r="E164" s="16">
        <v>180</v>
      </c>
      <c r="F164" s="4">
        <v>1.6</v>
      </c>
      <c r="G164" s="4">
        <v>0.4</v>
      </c>
      <c r="H164" s="4">
        <v>15</v>
      </c>
      <c r="I164" s="4">
        <v>76</v>
      </c>
      <c r="J164" s="4">
        <v>310</v>
      </c>
      <c r="K164" s="4">
        <v>70</v>
      </c>
      <c r="L164" s="4">
        <v>22</v>
      </c>
      <c r="M164" s="4">
        <v>34</v>
      </c>
      <c r="N164" s="4">
        <v>0.2</v>
      </c>
      <c r="O164" s="64">
        <v>20</v>
      </c>
      <c r="P164" s="4">
        <v>0.12</v>
      </c>
      <c r="Q164" s="4">
        <v>0.06</v>
      </c>
      <c r="R164" s="21">
        <v>0.6</v>
      </c>
      <c r="S164" s="4">
        <v>76</v>
      </c>
      <c r="T164" s="16">
        <v>110</v>
      </c>
      <c r="U164" s="32">
        <f>C164*T164/1000</f>
        <v>19.8</v>
      </c>
    </row>
    <row r="165" spans="1:21" ht="18" customHeight="1" x14ac:dyDescent="0.2">
      <c r="A165" s="6"/>
      <c r="B165" s="4" t="s">
        <v>12</v>
      </c>
      <c r="C165" s="82">
        <f>C141+C147+C150+C155+C162+C163+C164</f>
        <v>713</v>
      </c>
      <c r="D165" s="16"/>
      <c r="E165" s="16"/>
      <c r="F165" s="82">
        <f t="shared" ref="F165:S165" si="25">F141+F147+F150+F155+F162+F163+F164</f>
        <v>26.862000000000005</v>
      </c>
      <c r="G165" s="82">
        <f t="shared" si="25"/>
        <v>41.1</v>
      </c>
      <c r="H165" s="82">
        <f t="shared" si="25"/>
        <v>93.311999999999998</v>
      </c>
      <c r="I165" s="82">
        <f t="shared" si="25"/>
        <v>830.1400000000001</v>
      </c>
      <c r="J165" s="82">
        <f t="shared" si="25"/>
        <v>851.56999999999994</v>
      </c>
      <c r="K165" s="82">
        <f t="shared" si="25"/>
        <v>378.28000000000003</v>
      </c>
      <c r="L165" s="82">
        <f t="shared" si="25"/>
        <v>96.87</v>
      </c>
      <c r="M165" s="82">
        <f t="shared" si="25"/>
        <v>454.01</v>
      </c>
      <c r="N165" s="82">
        <f t="shared" si="25"/>
        <v>5.4880000000000004</v>
      </c>
      <c r="O165" s="82">
        <f t="shared" si="25"/>
        <v>20.1265</v>
      </c>
      <c r="P165" s="82">
        <f t="shared" si="25"/>
        <v>0.2</v>
      </c>
      <c r="Q165" s="82">
        <f t="shared" si="25"/>
        <v>0.157</v>
      </c>
      <c r="R165" s="82">
        <f t="shared" si="25"/>
        <v>1.8919999999999999</v>
      </c>
      <c r="S165" s="82">
        <f t="shared" si="25"/>
        <v>83.81</v>
      </c>
      <c r="T165" s="16"/>
      <c r="U165" s="33">
        <f>U146+U148+U154+U161+U162+U163+U164</f>
        <v>89.120070000000013</v>
      </c>
    </row>
    <row r="166" spans="1:21" x14ac:dyDescent="0.2">
      <c r="A166" s="6"/>
      <c r="B166" s="17" t="s">
        <v>81</v>
      </c>
      <c r="C166" s="17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61"/>
      <c r="P166" s="16"/>
      <c r="Q166" s="16"/>
      <c r="R166" s="18"/>
      <c r="S166" s="16"/>
      <c r="T166" s="16"/>
      <c r="U166" s="16"/>
    </row>
    <row r="167" spans="1:21" x14ac:dyDescent="0.2">
      <c r="A167" s="6"/>
      <c r="B167" s="17" t="s">
        <v>0</v>
      </c>
      <c r="C167" s="17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61"/>
      <c r="P167" s="16"/>
      <c r="Q167" s="16"/>
      <c r="R167" s="18"/>
      <c r="S167" s="16"/>
      <c r="T167" s="16"/>
      <c r="U167" s="16"/>
    </row>
    <row r="168" spans="1:21" ht="39.75" customHeight="1" x14ac:dyDescent="0.2">
      <c r="A168" s="1" t="s">
        <v>131</v>
      </c>
      <c r="B168" s="76" t="s">
        <v>173</v>
      </c>
      <c r="C168" s="102">
        <v>220</v>
      </c>
      <c r="D168" s="91"/>
      <c r="E168" s="86"/>
      <c r="F168" s="86">
        <f>F169+F170+F171+F172+F173+F174</f>
        <v>6.7859999999999996</v>
      </c>
      <c r="G168" s="86">
        <f t="shared" ref="G168:S168" si="26">G169+G170+G171+G172+G173+G174</f>
        <v>11.472999999999999</v>
      </c>
      <c r="H168" s="86">
        <f t="shared" si="26"/>
        <v>40.048999999999999</v>
      </c>
      <c r="I168" s="86">
        <f t="shared" si="26"/>
        <v>288.59000000000003</v>
      </c>
      <c r="J168" s="86">
        <f t="shared" si="26"/>
        <v>200.55</v>
      </c>
      <c r="K168" s="86">
        <f t="shared" si="26"/>
        <v>144.21999999999997</v>
      </c>
      <c r="L168" s="86">
        <f t="shared" si="26"/>
        <v>44.679999999999993</v>
      </c>
      <c r="M168" s="86">
        <f t="shared" si="26"/>
        <v>184.28</v>
      </c>
      <c r="N168" s="86">
        <f t="shared" si="26"/>
        <v>2.5</v>
      </c>
      <c r="O168" s="86">
        <f t="shared" si="26"/>
        <v>0.05</v>
      </c>
      <c r="P168" s="86">
        <f t="shared" si="26"/>
        <v>0</v>
      </c>
      <c r="Q168" s="86">
        <f t="shared" si="26"/>
        <v>0</v>
      </c>
      <c r="R168" s="87">
        <f t="shared" si="26"/>
        <v>1.2989000000000002</v>
      </c>
      <c r="S168" s="86">
        <f t="shared" si="26"/>
        <v>1.3</v>
      </c>
      <c r="T168" s="77"/>
      <c r="U168" s="78"/>
    </row>
    <row r="169" spans="1:21" ht="15.75" customHeight="1" x14ac:dyDescent="0.2">
      <c r="A169" s="1"/>
      <c r="B169" s="103" t="s">
        <v>132</v>
      </c>
      <c r="C169" s="104"/>
      <c r="D169" s="91">
        <v>31</v>
      </c>
      <c r="E169" s="91">
        <v>31</v>
      </c>
      <c r="F169" s="91">
        <f>12.6*E169/100</f>
        <v>3.9059999999999997</v>
      </c>
      <c r="G169" s="91">
        <f>3.3*E169/100</f>
        <v>1.0229999999999999</v>
      </c>
      <c r="H169" s="105">
        <f>62.1*E169/100</f>
        <v>19.251000000000001</v>
      </c>
      <c r="I169" s="91">
        <f>335*E169/100</f>
        <v>103.85</v>
      </c>
      <c r="J169" s="106">
        <f>167*E169/100</f>
        <v>51.77</v>
      </c>
      <c r="K169" s="92">
        <f>70*E169/100</f>
        <v>21.7</v>
      </c>
      <c r="L169" s="91">
        <f>98*E169/100</f>
        <v>30.38</v>
      </c>
      <c r="M169" s="91">
        <f>298*E169/100</f>
        <v>92.38</v>
      </c>
      <c r="N169" s="91">
        <f>8*E169/100</f>
        <v>2.48</v>
      </c>
      <c r="O169" s="91">
        <v>0</v>
      </c>
      <c r="P169" s="91">
        <v>0</v>
      </c>
      <c r="Q169" s="91">
        <v>0</v>
      </c>
      <c r="R169" s="93">
        <f>4.19*E169/100</f>
        <v>1.2989000000000002</v>
      </c>
      <c r="S169" s="91">
        <v>0</v>
      </c>
      <c r="T169" s="77">
        <v>110</v>
      </c>
      <c r="U169" s="80">
        <f t="shared" ref="U169:U174" si="27">D169*T169/1000</f>
        <v>3.41</v>
      </c>
    </row>
    <row r="170" spans="1:21" ht="14.25" customHeight="1" x14ac:dyDescent="0.2">
      <c r="A170" s="1"/>
      <c r="B170" s="103" t="s">
        <v>14</v>
      </c>
      <c r="C170" s="104"/>
      <c r="D170" s="91">
        <v>100</v>
      </c>
      <c r="E170" s="91">
        <v>100</v>
      </c>
      <c r="F170" s="91">
        <f>2.8*E170/100</f>
        <v>2.8</v>
      </c>
      <c r="G170" s="91">
        <f>3.2*E170/100</f>
        <v>3.2</v>
      </c>
      <c r="H170" s="91">
        <f>4.7*E170/100</f>
        <v>4.7</v>
      </c>
      <c r="I170" s="91">
        <f>58*E170/100</f>
        <v>58</v>
      </c>
      <c r="J170" s="91">
        <f>146*E170/100</f>
        <v>146</v>
      </c>
      <c r="K170" s="92">
        <f>120*E170/100</f>
        <v>120</v>
      </c>
      <c r="L170" s="91">
        <f>14*E170/100</f>
        <v>14</v>
      </c>
      <c r="M170" s="92">
        <f>90*E170/100</f>
        <v>90</v>
      </c>
      <c r="N170" s="91">
        <v>0</v>
      </c>
      <c r="O170" s="91">
        <v>0</v>
      </c>
      <c r="P170" s="91">
        <v>0</v>
      </c>
      <c r="Q170" s="91">
        <v>0</v>
      </c>
      <c r="R170" s="93">
        <v>0</v>
      </c>
      <c r="S170" s="91">
        <f>1.3*E170/100</f>
        <v>1.3</v>
      </c>
      <c r="T170" s="77">
        <v>79.64</v>
      </c>
      <c r="U170" s="80">
        <f t="shared" si="27"/>
        <v>7.9640000000000004</v>
      </c>
    </row>
    <row r="171" spans="1:21" x14ac:dyDescent="0.2">
      <c r="A171" s="1"/>
      <c r="B171" s="107" t="s">
        <v>20</v>
      </c>
      <c r="C171" s="78"/>
      <c r="D171" s="78">
        <v>75</v>
      </c>
      <c r="E171" s="91">
        <v>75</v>
      </c>
      <c r="F171" s="78">
        <v>0</v>
      </c>
      <c r="G171" s="78">
        <v>0</v>
      </c>
      <c r="H171" s="78">
        <v>0</v>
      </c>
      <c r="I171" s="78">
        <v>0</v>
      </c>
      <c r="J171" s="78">
        <v>0</v>
      </c>
      <c r="K171" s="78">
        <v>0</v>
      </c>
      <c r="L171" s="78">
        <v>0</v>
      </c>
      <c r="M171" s="78">
        <v>0</v>
      </c>
      <c r="N171" s="78">
        <v>0</v>
      </c>
      <c r="O171" s="78">
        <v>0</v>
      </c>
      <c r="P171" s="78">
        <v>0</v>
      </c>
      <c r="Q171" s="78">
        <v>0</v>
      </c>
      <c r="R171" s="90">
        <v>0</v>
      </c>
      <c r="S171" s="78">
        <v>0</v>
      </c>
      <c r="T171" s="77">
        <v>0</v>
      </c>
      <c r="U171" s="80">
        <f t="shared" si="27"/>
        <v>0</v>
      </c>
    </row>
    <row r="172" spans="1:21" x14ac:dyDescent="0.2">
      <c r="A172" s="86"/>
      <c r="B172" s="107" t="s">
        <v>15</v>
      </c>
      <c r="C172" s="78"/>
      <c r="D172" s="78">
        <v>16</v>
      </c>
      <c r="E172" s="78">
        <v>16</v>
      </c>
      <c r="F172" s="108">
        <v>0</v>
      </c>
      <c r="G172" s="108">
        <v>0</v>
      </c>
      <c r="H172" s="108">
        <f>99.8*E172/100</f>
        <v>15.968</v>
      </c>
      <c r="I172" s="108">
        <f>379*E172/100</f>
        <v>60.64</v>
      </c>
      <c r="J172" s="108">
        <f>3*E172/100</f>
        <v>0.48</v>
      </c>
      <c r="K172" s="108">
        <f>2*E172/100</f>
        <v>0.32</v>
      </c>
      <c r="L172" s="108">
        <v>0</v>
      </c>
      <c r="M172" s="108">
        <v>0</v>
      </c>
      <c r="N172" s="108">
        <v>0</v>
      </c>
      <c r="O172" s="108">
        <v>0</v>
      </c>
      <c r="P172" s="108">
        <v>0</v>
      </c>
      <c r="Q172" s="108">
        <v>0</v>
      </c>
      <c r="R172" s="109">
        <v>0</v>
      </c>
      <c r="S172" s="94">
        <v>0</v>
      </c>
      <c r="T172" s="77">
        <v>75.28</v>
      </c>
      <c r="U172" s="80">
        <f t="shared" si="27"/>
        <v>1.20448</v>
      </c>
    </row>
    <row r="173" spans="1:21" s="3" customFormat="1" x14ac:dyDescent="0.2">
      <c r="A173" s="86"/>
      <c r="B173" s="107" t="s">
        <v>24</v>
      </c>
      <c r="C173" s="78"/>
      <c r="D173" s="78">
        <v>1.4</v>
      </c>
      <c r="E173" s="78">
        <v>1.4</v>
      </c>
      <c r="F173" s="78">
        <v>0</v>
      </c>
      <c r="G173" s="78">
        <v>0</v>
      </c>
      <c r="H173" s="78">
        <v>0</v>
      </c>
      <c r="I173" s="78">
        <v>0</v>
      </c>
      <c r="J173" s="78">
        <v>0</v>
      </c>
      <c r="K173" s="78">
        <v>0</v>
      </c>
      <c r="L173" s="78">
        <v>0</v>
      </c>
      <c r="M173" s="78">
        <v>0</v>
      </c>
      <c r="N173" s="78">
        <v>0</v>
      </c>
      <c r="O173" s="78">
        <v>0</v>
      </c>
      <c r="P173" s="78">
        <v>0</v>
      </c>
      <c r="Q173" s="78">
        <v>0</v>
      </c>
      <c r="R173" s="90">
        <v>0</v>
      </c>
      <c r="S173" s="78">
        <v>0</v>
      </c>
      <c r="T173" s="77">
        <v>20.87</v>
      </c>
      <c r="U173" s="80">
        <f t="shared" si="27"/>
        <v>2.9218000000000001E-2</v>
      </c>
    </row>
    <row r="174" spans="1:21" ht="15" customHeight="1" x14ac:dyDescent="0.2">
      <c r="A174" s="86"/>
      <c r="B174" s="110" t="s">
        <v>22</v>
      </c>
      <c r="C174" s="111"/>
      <c r="D174" s="78">
        <v>10</v>
      </c>
      <c r="E174" s="78">
        <v>10</v>
      </c>
      <c r="F174" s="16">
        <f>0.8*D174/100</f>
        <v>0.08</v>
      </c>
      <c r="G174" s="16">
        <f>72.5*D174/100</f>
        <v>7.25</v>
      </c>
      <c r="H174" s="16">
        <f>1.3*D174/100</f>
        <v>0.13</v>
      </c>
      <c r="I174" s="16">
        <f>661*D174/100</f>
        <v>66.099999999999994</v>
      </c>
      <c r="J174" s="26">
        <f>23*D174/100</f>
        <v>2.2999999999999998</v>
      </c>
      <c r="K174" s="16">
        <f>22*D174/100</f>
        <v>2.2000000000000002</v>
      </c>
      <c r="L174" s="26">
        <f>3*D174/100</f>
        <v>0.3</v>
      </c>
      <c r="M174" s="16">
        <f>19*E174/100</f>
        <v>1.9</v>
      </c>
      <c r="N174" s="16">
        <f>0.2*E174/100</f>
        <v>0.02</v>
      </c>
      <c r="O174" s="16">
        <f>0.5*E174/100</f>
        <v>0.05</v>
      </c>
      <c r="P174" s="16">
        <v>0</v>
      </c>
      <c r="Q174" s="16">
        <v>0</v>
      </c>
      <c r="R174" s="18">
        <v>0</v>
      </c>
      <c r="S174" s="16">
        <v>0</v>
      </c>
      <c r="T174" s="77">
        <v>800</v>
      </c>
      <c r="U174" s="80">
        <f t="shared" si="27"/>
        <v>8</v>
      </c>
    </row>
    <row r="175" spans="1:21" ht="15" customHeight="1" x14ac:dyDescent="0.2">
      <c r="A175" s="1"/>
      <c r="B175" s="95" t="s">
        <v>25</v>
      </c>
      <c r="C175" s="101"/>
      <c r="D175" s="91"/>
      <c r="E175" s="86"/>
      <c r="F175" s="112"/>
      <c r="G175" s="112"/>
      <c r="H175" s="112"/>
      <c r="I175" s="112"/>
      <c r="J175" s="113"/>
      <c r="K175" s="112"/>
      <c r="L175" s="112"/>
      <c r="M175" s="112"/>
      <c r="N175" s="112"/>
      <c r="O175" s="112"/>
      <c r="P175" s="112"/>
      <c r="Q175" s="112"/>
      <c r="R175" s="114"/>
      <c r="S175" s="112"/>
      <c r="T175" s="77"/>
      <c r="U175" s="130">
        <f>SUM(U169:U174)</f>
        <v>20.607697999999999</v>
      </c>
    </row>
    <row r="176" spans="1:21" ht="27" customHeight="1" x14ac:dyDescent="0.2">
      <c r="A176" s="74" t="s">
        <v>106</v>
      </c>
      <c r="B176" s="72" t="s">
        <v>107</v>
      </c>
      <c r="C176" s="4">
        <v>50</v>
      </c>
      <c r="D176" s="16"/>
      <c r="E176" s="4"/>
      <c r="F176" s="4">
        <v>5.76</v>
      </c>
      <c r="G176" s="4">
        <v>8.85</v>
      </c>
      <c r="H176" s="4">
        <v>14.9</v>
      </c>
      <c r="I176" s="4">
        <v>165.7</v>
      </c>
      <c r="J176" s="4">
        <f t="shared" ref="J176:S176" si="28">J177+J178+J179</f>
        <v>58.75</v>
      </c>
      <c r="K176" s="4">
        <f t="shared" si="28"/>
        <v>164.9</v>
      </c>
      <c r="L176" s="4">
        <f t="shared" si="28"/>
        <v>10.65</v>
      </c>
      <c r="M176" s="4">
        <f t="shared" si="28"/>
        <v>107.44999999999999</v>
      </c>
      <c r="N176" s="4">
        <f t="shared" si="28"/>
        <v>0.49</v>
      </c>
      <c r="O176" s="4">
        <f t="shared" si="28"/>
        <v>5.6500000000000002E-2</v>
      </c>
      <c r="P176" s="4">
        <f t="shared" si="28"/>
        <v>0</v>
      </c>
      <c r="Q176" s="4">
        <f t="shared" si="28"/>
        <v>5.7000000000000002E-2</v>
      </c>
      <c r="R176" s="21">
        <f t="shared" si="28"/>
        <v>0.52200000000000002</v>
      </c>
      <c r="S176" s="4">
        <f t="shared" si="28"/>
        <v>0.42</v>
      </c>
      <c r="T176" s="16"/>
      <c r="U176" s="24"/>
    </row>
    <row r="177" spans="1:21" ht="15" customHeight="1" x14ac:dyDescent="0.2">
      <c r="A177" s="4"/>
      <c r="B177" s="27" t="s">
        <v>108</v>
      </c>
      <c r="C177" s="16"/>
      <c r="D177" s="16">
        <v>16</v>
      </c>
      <c r="E177" s="16">
        <v>15</v>
      </c>
      <c r="F177" s="16">
        <f>23*E177/100</f>
        <v>3.45</v>
      </c>
      <c r="G177" s="16">
        <f>29*E177/100</f>
        <v>4.3499999999999996</v>
      </c>
      <c r="H177" s="16">
        <v>0</v>
      </c>
      <c r="I177" s="16">
        <f>360*E177/100</f>
        <v>54</v>
      </c>
      <c r="J177" s="25">
        <f>130*E177/100</f>
        <v>19.5</v>
      </c>
      <c r="K177" s="16">
        <f>1040*E177/100</f>
        <v>156</v>
      </c>
      <c r="L177" s="16">
        <v>0</v>
      </c>
      <c r="M177" s="16">
        <f>544*E177/100</f>
        <v>81.599999999999994</v>
      </c>
      <c r="N177" s="16">
        <v>0</v>
      </c>
      <c r="O177" s="16">
        <f>0.21*E177/100</f>
        <v>3.15E-2</v>
      </c>
      <c r="P177" s="16">
        <v>0</v>
      </c>
      <c r="Q177" s="16">
        <f>0.38*E177/100</f>
        <v>5.7000000000000002E-2</v>
      </c>
      <c r="R177" s="18">
        <f>0.4*E177/100</f>
        <v>0.06</v>
      </c>
      <c r="S177" s="16">
        <f>2.8*E177/100</f>
        <v>0.42</v>
      </c>
      <c r="T177" s="16">
        <v>740</v>
      </c>
      <c r="U177" s="24">
        <f>D177*T177/1000</f>
        <v>11.84</v>
      </c>
    </row>
    <row r="178" spans="1:21" x14ac:dyDescent="0.2">
      <c r="A178" s="4"/>
      <c r="B178" s="43" t="s">
        <v>22</v>
      </c>
      <c r="C178" s="22"/>
      <c r="D178" s="16">
        <v>5</v>
      </c>
      <c r="E178" s="16">
        <v>5</v>
      </c>
      <c r="F178" s="16">
        <f>0.8*D178/100</f>
        <v>0.04</v>
      </c>
      <c r="G178" s="16">
        <f>72.5*D178/100</f>
        <v>3.625</v>
      </c>
      <c r="H178" s="16">
        <f>1.3*D178/100</f>
        <v>6.5000000000000002E-2</v>
      </c>
      <c r="I178" s="16">
        <f>661*D178/100</f>
        <v>33.049999999999997</v>
      </c>
      <c r="J178" s="26">
        <f>23*D178/100</f>
        <v>1.1499999999999999</v>
      </c>
      <c r="K178" s="16">
        <f>22*D178/100</f>
        <v>1.1000000000000001</v>
      </c>
      <c r="L178" s="26">
        <f>3*D178/100</f>
        <v>0.15</v>
      </c>
      <c r="M178" s="16">
        <f>19*E178/100</f>
        <v>0.95</v>
      </c>
      <c r="N178" s="16">
        <f>0.2*E178/100</f>
        <v>0.01</v>
      </c>
      <c r="O178" s="16">
        <f>0.5*E178/100</f>
        <v>2.5000000000000001E-2</v>
      </c>
      <c r="P178" s="16">
        <v>0</v>
      </c>
      <c r="Q178" s="16">
        <v>0</v>
      </c>
      <c r="R178" s="18">
        <v>0</v>
      </c>
      <c r="S178" s="16">
        <v>0</v>
      </c>
      <c r="T178" s="16">
        <v>800</v>
      </c>
      <c r="U178" s="24">
        <f>D178*T178/1000</f>
        <v>4</v>
      </c>
    </row>
    <row r="179" spans="1:21" x14ac:dyDescent="0.2">
      <c r="A179" s="4"/>
      <c r="B179" s="27" t="s">
        <v>109</v>
      </c>
      <c r="C179" s="16"/>
      <c r="D179" s="16">
        <v>30</v>
      </c>
      <c r="E179" s="16">
        <v>30</v>
      </c>
      <c r="F179" s="16">
        <f>7.7*E179/100</f>
        <v>2.31</v>
      </c>
      <c r="G179" s="16">
        <f>3*E179/100</f>
        <v>0.9</v>
      </c>
      <c r="H179" s="16">
        <f>49.8*E179/100</f>
        <v>14.94</v>
      </c>
      <c r="I179" s="16">
        <f>262*E179/100</f>
        <v>78.599999999999994</v>
      </c>
      <c r="J179" s="16">
        <f>127*E179/100</f>
        <v>38.1</v>
      </c>
      <c r="K179" s="16">
        <f>26*E179/100</f>
        <v>7.8</v>
      </c>
      <c r="L179" s="16">
        <f>35*E179/100</f>
        <v>10.5</v>
      </c>
      <c r="M179" s="16">
        <f>83*E179/100</f>
        <v>24.9</v>
      </c>
      <c r="N179" s="16">
        <f>1.6*E179/100</f>
        <v>0.48</v>
      </c>
      <c r="O179" s="16">
        <v>0</v>
      </c>
      <c r="P179" s="16">
        <v>0</v>
      </c>
      <c r="Q179" s="16">
        <v>0</v>
      </c>
      <c r="R179" s="18">
        <f>1.54*E179/100</f>
        <v>0.46200000000000002</v>
      </c>
      <c r="S179" s="16">
        <v>0</v>
      </c>
      <c r="T179" s="16">
        <v>50</v>
      </c>
      <c r="U179" s="24">
        <f>D179*T179/1000</f>
        <v>1.5</v>
      </c>
    </row>
    <row r="180" spans="1:21" x14ac:dyDescent="0.2">
      <c r="A180" s="71"/>
      <c r="B180" s="28" t="s">
        <v>25</v>
      </c>
      <c r="C180" s="28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61"/>
      <c r="P180" s="16"/>
      <c r="Q180" s="16"/>
      <c r="R180" s="18"/>
      <c r="S180" s="16"/>
      <c r="T180" s="16"/>
      <c r="U180" s="32">
        <f>SUM(U177:U179)</f>
        <v>17.34</v>
      </c>
    </row>
    <row r="181" spans="1:21" x14ac:dyDescent="0.2">
      <c r="A181" s="7" t="s">
        <v>50</v>
      </c>
      <c r="B181" s="4" t="s">
        <v>51</v>
      </c>
      <c r="C181" s="4">
        <v>200</v>
      </c>
      <c r="D181" s="4" t="s">
        <v>100</v>
      </c>
      <c r="E181" s="4"/>
      <c r="F181" s="4">
        <f>F182</f>
        <v>1</v>
      </c>
      <c r="G181" s="4">
        <f t="shared" ref="G181:S181" si="29">G182</f>
        <v>0.2</v>
      </c>
      <c r="H181" s="4">
        <f t="shared" si="29"/>
        <v>20.2</v>
      </c>
      <c r="I181" s="4">
        <f t="shared" si="29"/>
        <v>92</v>
      </c>
      <c r="J181" s="4">
        <f t="shared" si="29"/>
        <v>240</v>
      </c>
      <c r="K181" s="4">
        <f t="shared" si="29"/>
        <v>14</v>
      </c>
      <c r="L181" s="4">
        <f t="shared" si="29"/>
        <v>8</v>
      </c>
      <c r="M181" s="4">
        <f t="shared" si="29"/>
        <v>14</v>
      </c>
      <c r="N181" s="4">
        <f t="shared" si="29"/>
        <v>2.8</v>
      </c>
      <c r="O181" s="64">
        <f t="shared" si="29"/>
        <v>0</v>
      </c>
      <c r="P181" s="4">
        <f t="shared" si="29"/>
        <v>0</v>
      </c>
      <c r="Q181" s="4">
        <f t="shared" si="29"/>
        <v>0</v>
      </c>
      <c r="R181" s="4">
        <f t="shared" si="29"/>
        <v>0.4</v>
      </c>
      <c r="S181" s="4">
        <f t="shared" si="29"/>
        <v>4</v>
      </c>
      <c r="T181" s="16"/>
      <c r="U181" s="16"/>
    </row>
    <row r="182" spans="1:21" ht="25.5" x14ac:dyDescent="0.2">
      <c r="A182" s="8"/>
      <c r="B182" s="22" t="s">
        <v>60</v>
      </c>
      <c r="C182" s="16"/>
      <c r="D182" s="16">
        <v>200</v>
      </c>
      <c r="E182" s="16">
        <v>200</v>
      </c>
      <c r="F182" s="16">
        <f>0.5*E182/100</f>
        <v>1</v>
      </c>
      <c r="G182" s="16">
        <f>0.1*E182/100</f>
        <v>0.2</v>
      </c>
      <c r="H182" s="16">
        <f>10.1*E182/100</f>
        <v>20.2</v>
      </c>
      <c r="I182" s="16">
        <f>46*E182/100</f>
        <v>92</v>
      </c>
      <c r="J182" s="16">
        <f>120*E182/100</f>
        <v>240</v>
      </c>
      <c r="K182" s="16">
        <f>7*E182/100</f>
        <v>14</v>
      </c>
      <c r="L182" s="16">
        <f>4*E182/100</f>
        <v>8</v>
      </c>
      <c r="M182" s="16">
        <f>7*E182/100</f>
        <v>14</v>
      </c>
      <c r="N182" s="16">
        <f>1.4*E182/100</f>
        <v>2.8</v>
      </c>
      <c r="O182" s="61">
        <v>0</v>
      </c>
      <c r="P182" s="16">
        <v>0</v>
      </c>
      <c r="Q182" s="16">
        <v>0</v>
      </c>
      <c r="R182" s="18">
        <f>0.2*E182/100</f>
        <v>0.4</v>
      </c>
      <c r="S182" s="16">
        <f>2*E182/100</f>
        <v>4</v>
      </c>
      <c r="T182" s="16">
        <v>110</v>
      </c>
      <c r="U182" s="24">
        <f>D182*T182/1000</f>
        <v>22</v>
      </c>
    </row>
    <row r="183" spans="1:21" x14ac:dyDescent="0.2">
      <c r="A183" s="9"/>
      <c r="B183" s="28" t="s">
        <v>25</v>
      </c>
      <c r="C183" s="16"/>
      <c r="D183" s="16"/>
      <c r="E183" s="16"/>
      <c r="F183" s="16"/>
      <c r="G183" s="16"/>
      <c r="H183" s="16"/>
      <c r="I183" s="16"/>
      <c r="J183" s="16" t="s">
        <v>59</v>
      </c>
      <c r="K183" s="16"/>
      <c r="L183" s="16"/>
      <c r="M183" s="16"/>
      <c r="N183" s="16"/>
      <c r="O183" s="61"/>
      <c r="P183" s="16"/>
      <c r="Q183" s="16"/>
      <c r="R183" s="18"/>
      <c r="S183" s="16"/>
      <c r="T183" s="16"/>
      <c r="U183" s="32">
        <f>U182</f>
        <v>22</v>
      </c>
    </row>
    <row r="184" spans="1:21" x14ac:dyDescent="0.2">
      <c r="A184" s="71" t="s">
        <v>11</v>
      </c>
      <c r="B184" s="19" t="s">
        <v>1</v>
      </c>
      <c r="C184" s="19">
        <v>20</v>
      </c>
      <c r="D184" s="16">
        <v>20</v>
      </c>
      <c r="E184" s="16">
        <v>20</v>
      </c>
      <c r="F184" s="4">
        <f>7.7*E184/100</f>
        <v>1.54</v>
      </c>
      <c r="G184" s="4">
        <v>1.6</v>
      </c>
      <c r="H184" s="4">
        <f>49.8*E184/100</f>
        <v>9.9600000000000009</v>
      </c>
      <c r="I184" s="4">
        <f>262*E184/100</f>
        <v>52.4</v>
      </c>
      <c r="J184" s="4">
        <f>127*E184/100</f>
        <v>25.4</v>
      </c>
      <c r="K184" s="4">
        <f>26*E184/100</f>
        <v>5.2</v>
      </c>
      <c r="L184" s="4">
        <f>35*E184/100</f>
        <v>7</v>
      </c>
      <c r="M184" s="4">
        <f>83*E184/100</f>
        <v>16.600000000000001</v>
      </c>
      <c r="N184" s="4">
        <f>1.6*E184/100</f>
        <v>0.32</v>
      </c>
      <c r="O184" s="64">
        <v>0</v>
      </c>
      <c r="P184" s="4">
        <f>0.16*E184/100</f>
        <v>3.2000000000000001E-2</v>
      </c>
      <c r="Q184" s="4">
        <f>0.08*E184/100</f>
        <v>1.6E-2</v>
      </c>
      <c r="R184" s="21">
        <f>1.54*E184/100</f>
        <v>0.308</v>
      </c>
      <c r="S184" s="4">
        <v>0</v>
      </c>
      <c r="T184" s="16">
        <v>50</v>
      </c>
      <c r="U184" s="24">
        <f>E184*T184/1000</f>
        <v>1</v>
      </c>
    </row>
    <row r="185" spans="1:21" x14ac:dyDescent="0.2">
      <c r="A185" s="4" t="s">
        <v>98</v>
      </c>
      <c r="B185" s="19" t="s">
        <v>99</v>
      </c>
      <c r="C185" s="19">
        <v>50</v>
      </c>
      <c r="D185" s="16">
        <v>50</v>
      </c>
      <c r="E185" s="16">
        <v>50</v>
      </c>
      <c r="F185" s="4">
        <f>6.6*E185/100</f>
        <v>3.3</v>
      </c>
      <c r="G185" s="4">
        <f>1.2*E185/100</f>
        <v>0.6</v>
      </c>
      <c r="H185" s="4">
        <f>34.2*E185/100</f>
        <v>17.100000000000001</v>
      </c>
      <c r="I185" s="4">
        <f>181*E185/100</f>
        <v>90.5</v>
      </c>
      <c r="J185" s="4">
        <f>94*E185/100</f>
        <v>47</v>
      </c>
      <c r="K185" s="4">
        <f>34*E185/100</f>
        <v>17</v>
      </c>
      <c r="L185" s="4">
        <f>41*E185/100</f>
        <v>20.5</v>
      </c>
      <c r="M185" s="4">
        <f>120*E185/100</f>
        <v>60</v>
      </c>
      <c r="N185" s="4">
        <f>2.3*E185/100</f>
        <v>1.1499999999999999</v>
      </c>
      <c r="O185" s="64">
        <v>0</v>
      </c>
      <c r="P185" s="4">
        <v>0</v>
      </c>
      <c r="Q185" s="4">
        <v>0</v>
      </c>
      <c r="R185" s="21">
        <v>0</v>
      </c>
      <c r="S185" s="4">
        <v>0</v>
      </c>
      <c r="T185" s="16">
        <v>60</v>
      </c>
      <c r="U185" s="24">
        <f>E185*T185/1000</f>
        <v>3</v>
      </c>
    </row>
    <row r="186" spans="1:21" x14ac:dyDescent="0.2">
      <c r="A186" s="6" t="s">
        <v>11</v>
      </c>
      <c r="B186" s="19" t="s">
        <v>56</v>
      </c>
      <c r="C186" s="19">
        <v>180</v>
      </c>
      <c r="D186" s="16" t="s">
        <v>26</v>
      </c>
      <c r="E186" s="16">
        <v>180</v>
      </c>
      <c r="F186" s="4">
        <f>0.4*E186/100</f>
        <v>0.72</v>
      </c>
      <c r="G186" s="4">
        <f>0.4*E186/100</f>
        <v>0.72</v>
      </c>
      <c r="H186" s="4">
        <f>9.8*E186/100</f>
        <v>17.64</v>
      </c>
      <c r="I186" s="4">
        <f>47*E186/100</f>
        <v>84.6</v>
      </c>
      <c r="J186" s="4">
        <f>278*E186/100</f>
        <v>500.4</v>
      </c>
      <c r="K186" s="4">
        <f>16*E186/100</f>
        <v>28.8</v>
      </c>
      <c r="L186" s="4">
        <f>9*E186/100</f>
        <v>16.2</v>
      </c>
      <c r="M186" s="4">
        <f>11*E186/100</f>
        <v>19.8</v>
      </c>
      <c r="N186" s="4">
        <f>2.2*E186/100</f>
        <v>3.9600000000000004</v>
      </c>
      <c r="O186" s="64">
        <v>0</v>
      </c>
      <c r="P186" s="4">
        <v>0</v>
      </c>
      <c r="Q186" s="4">
        <v>0</v>
      </c>
      <c r="R186" s="21">
        <v>0</v>
      </c>
      <c r="S186" s="4">
        <f>10*E186/100</f>
        <v>18</v>
      </c>
      <c r="T186" s="16">
        <v>80</v>
      </c>
      <c r="U186" s="32">
        <f>C186*T186/1000</f>
        <v>14.4</v>
      </c>
    </row>
    <row r="187" spans="1:21" x14ac:dyDescent="0.2">
      <c r="A187" s="6"/>
      <c r="B187" s="4" t="s">
        <v>12</v>
      </c>
      <c r="C187" s="83">
        <f>C168+C176+C181+C184+C185+C186</f>
        <v>720</v>
      </c>
      <c r="D187" s="16"/>
      <c r="E187" s="16"/>
      <c r="F187" s="83">
        <f t="shared" ref="F187:S187" si="30">F168+F176+F181+F184+F185+F186</f>
        <v>19.105999999999998</v>
      </c>
      <c r="G187" s="83">
        <f t="shared" si="30"/>
        <v>23.443000000000001</v>
      </c>
      <c r="H187" s="83">
        <f t="shared" si="30"/>
        <v>119.849</v>
      </c>
      <c r="I187" s="83">
        <f t="shared" si="30"/>
        <v>773.79</v>
      </c>
      <c r="J187" s="83">
        <f t="shared" si="30"/>
        <v>1072.0999999999999</v>
      </c>
      <c r="K187" s="83">
        <f t="shared" si="30"/>
        <v>374.12</v>
      </c>
      <c r="L187" s="83">
        <f t="shared" si="30"/>
        <v>107.02999999999999</v>
      </c>
      <c r="M187" s="83">
        <f t="shared" si="30"/>
        <v>402.13000000000005</v>
      </c>
      <c r="N187" s="83">
        <f t="shared" si="30"/>
        <v>11.22</v>
      </c>
      <c r="O187" s="83">
        <f t="shared" si="30"/>
        <v>0.10650000000000001</v>
      </c>
      <c r="P187" s="83">
        <f t="shared" si="30"/>
        <v>3.2000000000000001E-2</v>
      </c>
      <c r="Q187" s="83">
        <f t="shared" si="30"/>
        <v>7.3000000000000009E-2</v>
      </c>
      <c r="R187" s="83">
        <f t="shared" si="30"/>
        <v>2.5289000000000001</v>
      </c>
      <c r="S187" s="83">
        <f t="shared" si="30"/>
        <v>23.72</v>
      </c>
      <c r="T187" s="16"/>
      <c r="U187" s="33">
        <f>U175+U180+U183+U184+U185+U186</f>
        <v>78.347698000000008</v>
      </c>
    </row>
    <row r="188" spans="1:21" x14ac:dyDescent="0.2">
      <c r="A188" s="6"/>
      <c r="B188" s="4"/>
      <c r="C188" s="16"/>
      <c r="D188" s="16"/>
      <c r="E188" s="16"/>
      <c r="F188" s="47"/>
      <c r="G188" s="47"/>
      <c r="H188" s="47"/>
      <c r="I188" s="47"/>
      <c r="J188" s="47"/>
      <c r="K188" s="47"/>
      <c r="L188" s="47"/>
      <c r="M188" s="47"/>
      <c r="N188" s="47"/>
      <c r="O188" s="65"/>
      <c r="P188" s="47"/>
      <c r="Q188" s="47"/>
      <c r="R188" s="48"/>
      <c r="S188" s="47"/>
      <c r="T188" s="16"/>
      <c r="U188" s="52"/>
    </row>
    <row r="189" spans="1:21" x14ac:dyDescent="0.2">
      <c r="A189" s="6"/>
      <c r="B189" s="17" t="s">
        <v>82</v>
      </c>
      <c r="C189" s="17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61"/>
      <c r="P189" s="16"/>
      <c r="Q189" s="16"/>
      <c r="R189" s="18"/>
      <c r="S189" s="16"/>
      <c r="T189" s="16"/>
      <c r="U189" s="16"/>
    </row>
    <row r="190" spans="1:21" x14ac:dyDescent="0.2">
      <c r="A190" s="6"/>
      <c r="B190" s="17" t="s">
        <v>0</v>
      </c>
      <c r="C190" s="17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61"/>
      <c r="P190" s="16"/>
      <c r="Q190" s="16"/>
      <c r="R190" s="18"/>
      <c r="S190" s="16"/>
      <c r="T190" s="16"/>
      <c r="U190" s="16"/>
    </row>
    <row r="191" spans="1:21" x14ac:dyDescent="0.2">
      <c r="A191" s="1" t="s">
        <v>136</v>
      </c>
      <c r="B191" s="118" t="s">
        <v>137</v>
      </c>
      <c r="C191" s="119">
        <v>140</v>
      </c>
      <c r="D191" s="79"/>
      <c r="E191" s="115"/>
      <c r="F191" s="115">
        <f>F192+F193+F194+F195</f>
        <v>24.368599999999997</v>
      </c>
      <c r="G191" s="115">
        <f t="shared" ref="G191:S191" si="31">G192+G193+G194+G195</f>
        <v>25.1722</v>
      </c>
      <c r="H191" s="115">
        <f t="shared" si="31"/>
        <v>3.16</v>
      </c>
      <c r="I191" s="115">
        <f t="shared" si="31"/>
        <v>337.524</v>
      </c>
      <c r="J191" s="115">
        <f t="shared" si="31"/>
        <v>404.846</v>
      </c>
      <c r="K191" s="115">
        <f t="shared" si="31"/>
        <v>12.544</v>
      </c>
      <c r="L191" s="115">
        <f t="shared" si="31"/>
        <v>113.64799999999998</v>
      </c>
      <c r="M191" s="115">
        <f t="shared" si="31"/>
        <v>225.57799999999997</v>
      </c>
      <c r="N191" s="115">
        <f t="shared" si="31"/>
        <v>1.8892</v>
      </c>
      <c r="O191" s="115">
        <f t="shared" si="31"/>
        <v>89.46</v>
      </c>
      <c r="P191" s="115">
        <f t="shared" si="31"/>
        <v>0</v>
      </c>
      <c r="Q191" s="115">
        <f t="shared" si="31"/>
        <v>0</v>
      </c>
      <c r="R191" s="115">
        <f t="shared" si="31"/>
        <v>13.784599999999998</v>
      </c>
      <c r="S191" s="115">
        <f t="shared" si="31"/>
        <v>3.5004</v>
      </c>
      <c r="T191" s="77"/>
      <c r="U191" s="78"/>
    </row>
    <row r="192" spans="1:21" x14ac:dyDescent="0.2">
      <c r="A192" s="1"/>
      <c r="B192" s="120" t="s">
        <v>114</v>
      </c>
      <c r="C192" s="120"/>
      <c r="D192" s="79">
        <v>178.2</v>
      </c>
      <c r="E192" s="79">
        <v>127.8</v>
      </c>
      <c r="F192" s="91">
        <f>18.7*E192/100</f>
        <v>23.898599999999998</v>
      </c>
      <c r="G192" s="91">
        <f>16.1*E192/100</f>
        <v>20.575800000000001</v>
      </c>
      <c r="H192" s="92">
        <v>0</v>
      </c>
      <c r="I192" s="91">
        <f>220*E192/100</f>
        <v>281.16000000000003</v>
      </c>
      <c r="J192" s="106">
        <f>292*E192/100</f>
        <v>373.17599999999999</v>
      </c>
      <c r="K192" s="92">
        <f>8*E192/100</f>
        <v>10.224</v>
      </c>
      <c r="L192" s="91">
        <f>86*E192/100</f>
        <v>109.90799999999999</v>
      </c>
      <c r="M192" s="91">
        <f>171*E192/100</f>
        <v>218.53799999999998</v>
      </c>
      <c r="N192" s="91">
        <f>1.4*E192/100</f>
        <v>1.7891999999999999</v>
      </c>
      <c r="O192" s="91">
        <f>70*E192/100</f>
        <v>89.46</v>
      </c>
      <c r="P192" s="91">
        <v>0</v>
      </c>
      <c r="Q192" s="91">
        <v>0</v>
      </c>
      <c r="R192" s="93">
        <f>10.7*E192/100</f>
        <v>13.674599999999998</v>
      </c>
      <c r="S192" s="91">
        <f>1.8*E192/100</f>
        <v>2.3003999999999998</v>
      </c>
      <c r="T192" s="77">
        <v>200</v>
      </c>
      <c r="U192" s="80">
        <f t="shared" ref="U192:U200" si="32">D192*T192/1000</f>
        <v>35.64</v>
      </c>
    </row>
    <row r="193" spans="1:21" x14ac:dyDescent="0.2">
      <c r="A193" s="1"/>
      <c r="B193" s="121" t="s">
        <v>19</v>
      </c>
      <c r="C193" s="120"/>
      <c r="D193" s="79">
        <v>3.6</v>
      </c>
      <c r="E193" s="79">
        <v>3.6</v>
      </c>
      <c r="F193" s="120">
        <v>0</v>
      </c>
      <c r="G193" s="120">
        <f>99.9*E193/100</f>
        <v>3.5964000000000005</v>
      </c>
      <c r="H193" s="120">
        <v>0</v>
      </c>
      <c r="I193" s="120">
        <f>899*E193/100</f>
        <v>32.364000000000004</v>
      </c>
      <c r="J193" s="120">
        <v>0</v>
      </c>
      <c r="K193" s="120">
        <v>0</v>
      </c>
      <c r="L193" s="120">
        <v>0</v>
      </c>
      <c r="M193" s="120">
        <v>0</v>
      </c>
      <c r="N193" s="120">
        <v>0</v>
      </c>
      <c r="O193" s="120">
        <v>0</v>
      </c>
      <c r="P193" s="120">
        <v>0</v>
      </c>
      <c r="Q193" s="120">
        <v>0</v>
      </c>
      <c r="R193" s="120">
        <v>0</v>
      </c>
      <c r="S193" s="120">
        <v>0</v>
      </c>
      <c r="T193" s="77">
        <v>136.76</v>
      </c>
      <c r="U193" s="80">
        <f t="shared" si="32"/>
        <v>0.49233599999999994</v>
      </c>
    </row>
    <row r="194" spans="1:21" x14ac:dyDescent="0.2">
      <c r="A194" s="1"/>
      <c r="B194" s="120" t="s">
        <v>24</v>
      </c>
      <c r="C194" s="120"/>
      <c r="D194" s="79">
        <v>1</v>
      </c>
      <c r="E194" s="79">
        <v>1</v>
      </c>
      <c r="F194" s="79">
        <v>0</v>
      </c>
      <c r="G194" s="79">
        <v>0</v>
      </c>
      <c r="H194" s="79">
        <v>0</v>
      </c>
      <c r="I194" s="79">
        <v>0</v>
      </c>
      <c r="J194" s="79">
        <v>0</v>
      </c>
      <c r="K194" s="79">
        <v>0</v>
      </c>
      <c r="L194" s="79">
        <v>0</v>
      </c>
      <c r="M194" s="79">
        <v>0</v>
      </c>
      <c r="N194" s="79">
        <v>0</v>
      </c>
      <c r="O194" s="79">
        <v>0</v>
      </c>
      <c r="P194" s="79">
        <v>0</v>
      </c>
      <c r="Q194" s="79">
        <v>0</v>
      </c>
      <c r="R194" s="117">
        <v>0</v>
      </c>
      <c r="S194" s="91">
        <v>0</v>
      </c>
      <c r="T194" s="77">
        <v>20.87</v>
      </c>
      <c r="U194" s="80">
        <f t="shared" si="32"/>
        <v>2.087E-2</v>
      </c>
    </row>
    <row r="195" spans="1:21" x14ac:dyDescent="0.2">
      <c r="A195" s="1" t="s">
        <v>35</v>
      </c>
      <c r="B195" s="103" t="s">
        <v>36</v>
      </c>
      <c r="C195" s="111">
        <v>50</v>
      </c>
      <c r="D195" s="122"/>
      <c r="E195" s="123"/>
      <c r="F195" s="112">
        <v>0.47</v>
      </c>
      <c r="G195" s="124">
        <v>1</v>
      </c>
      <c r="H195" s="124">
        <v>3.16</v>
      </c>
      <c r="I195" s="124">
        <v>24</v>
      </c>
      <c r="J195" s="125">
        <v>31.67</v>
      </c>
      <c r="K195" s="124">
        <v>2.3199999999999998</v>
      </c>
      <c r="L195" s="124">
        <v>3.74</v>
      </c>
      <c r="M195" s="125">
        <v>7.04</v>
      </c>
      <c r="N195" s="124">
        <v>0.1</v>
      </c>
      <c r="O195" s="124">
        <v>0</v>
      </c>
      <c r="P195" s="124">
        <v>0</v>
      </c>
      <c r="Q195" s="124">
        <v>0</v>
      </c>
      <c r="R195" s="126">
        <v>0.11</v>
      </c>
      <c r="S195" s="112">
        <v>1.2</v>
      </c>
      <c r="T195" s="77"/>
      <c r="U195" s="80">
        <f t="shared" si="32"/>
        <v>0</v>
      </c>
    </row>
    <row r="196" spans="1:21" x14ac:dyDescent="0.2">
      <c r="A196" s="1"/>
      <c r="B196" s="103" t="s">
        <v>27</v>
      </c>
      <c r="C196" s="104"/>
      <c r="D196" s="91">
        <v>12.5</v>
      </c>
      <c r="E196" s="91">
        <v>12.5</v>
      </c>
      <c r="F196" s="91">
        <f>2.5*D196/100</f>
        <v>0.3125</v>
      </c>
      <c r="G196" s="91">
        <f>15*D196/100</f>
        <v>1.875</v>
      </c>
      <c r="H196" s="105">
        <f>3.4*D196/100</f>
        <v>0.42499999999999999</v>
      </c>
      <c r="I196" s="106">
        <f>206*E196/100</f>
        <v>25.75</v>
      </c>
      <c r="J196" s="91">
        <f>109*D196/100</f>
        <v>13.625</v>
      </c>
      <c r="K196" s="91">
        <f>86*D196/100</f>
        <v>10.75</v>
      </c>
      <c r="L196" s="91">
        <f>8*D196/100</f>
        <v>1</v>
      </c>
      <c r="M196" s="91">
        <f>60*D196/100</f>
        <v>7.5</v>
      </c>
      <c r="N196" s="91">
        <f>0.2*D196/100</f>
        <v>2.5000000000000001E-2</v>
      </c>
      <c r="O196" s="91">
        <f>0.15*D196/100</f>
        <v>1.8749999999999999E-2</v>
      </c>
      <c r="P196" s="91">
        <f>0.03*D196/100</f>
        <v>3.7499999999999999E-3</v>
      </c>
      <c r="Q196" s="91">
        <f>0.11*D196/100</f>
        <v>1.375E-2</v>
      </c>
      <c r="R196" s="93">
        <f>0.1*D196/100</f>
        <v>1.2500000000000001E-2</v>
      </c>
      <c r="S196" s="91">
        <f>0.3*D196/100</f>
        <v>3.7499999999999999E-2</v>
      </c>
      <c r="T196" s="77">
        <v>303.64</v>
      </c>
      <c r="U196" s="80">
        <f t="shared" si="32"/>
        <v>3.7955000000000001</v>
      </c>
    </row>
    <row r="197" spans="1:21" x14ac:dyDescent="0.2">
      <c r="A197" s="1"/>
      <c r="B197" s="103" t="s">
        <v>115</v>
      </c>
      <c r="C197" s="127"/>
      <c r="D197" s="91">
        <v>3.75</v>
      </c>
      <c r="E197" s="91">
        <v>3.75</v>
      </c>
      <c r="F197" s="91">
        <f>10.3*E197/100</f>
        <v>0.38624999999999998</v>
      </c>
      <c r="G197" s="91">
        <f>1.1*E197/100</f>
        <v>4.1250000000000002E-2</v>
      </c>
      <c r="H197" s="91">
        <f>69*E197/100</f>
        <v>2.5874999999999999</v>
      </c>
      <c r="I197" s="91">
        <f>334*E197/100</f>
        <v>12.525</v>
      </c>
      <c r="J197" s="91">
        <f>176*E197/100</f>
        <v>6.6</v>
      </c>
      <c r="K197" s="91">
        <f>24*E197/100</f>
        <v>0.9</v>
      </c>
      <c r="L197" s="91">
        <f>44*E197/100</f>
        <v>1.65</v>
      </c>
      <c r="M197" s="91">
        <f>115*E197/100</f>
        <v>4.3125</v>
      </c>
      <c r="N197" s="91">
        <f>2.1*E197/100</f>
        <v>7.8750000000000001E-2</v>
      </c>
      <c r="O197" s="91">
        <v>0</v>
      </c>
      <c r="P197" s="91">
        <v>0</v>
      </c>
      <c r="Q197" s="91">
        <v>0</v>
      </c>
      <c r="R197" s="93">
        <v>0</v>
      </c>
      <c r="S197" s="91">
        <v>0</v>
      </c>
      <c r="T197" s="77">
        <v>52.04</v>
      </c>
      <c r="U197" s="80">
        <f t="shared" si="32"/>
        <v>0.19515000000000002</v>
      </c>
    </row>
    <row r="198" spans="1:21" x14ac:dyDescent="0.2">
      <c r="A198" s="1"/>
      <c r="B198" s="103" t="s">
        <v>20</v>
      </c>
      <c r="C198" s="102"/>
      <c r="D198" s="91">
        <v>37.5</v>
      </c>
      <c r="E198" s="91">
        <v>37.5</v>
      </c>
      <c r="F198" s="91">
        <v>0</v>
      </c>
      <c r="G198" s="91">
        <v>0</v>
      </c>
      <c r="H198" s="91">
        <v>0</v>
      </c>
      <c r="I198" s="91">
        <v>0</v>
      </c>
      <c r="J198" s="91">
        <v>0</v>
      </c>
      <c r="K198" s="91">
        <v>0</v>
      </c>
      <c r="L198" s="91">
        <v>0</v>
      </c>
      <c r="M198" s="91">
        <v>0</v>
      </c>
      <c r="N198" s="91">
        <v>0</v>
      </c>
      <c r="O198" s="91">
        <v>0</v>
      </c>
      <c r="P198" s="91">
        <v>0</v>
      </c>
      <c r="Q198" s="91">
        <v>0</v>
      </c>
      <c r="R198" s="93">
        <v>0</v>
      </c>
      <c r="S198" s="91">
        <v>0</v>
      </c>
      <c r="T198" s="77">
        <v>0</v>
      </c>
      <c r="U198" s="80">
        <f t="shared" si="32"/>
        <v>0</v>
      </c>
    </row>
    <row r="199" spans="1:21" x14ac:dyDescent="0.2">
      <c r="A199" s="1"/>
      <c r="B199" s="103" t="s">
        <v>21</v>
      </c>
      <c r="C199" s="104"/>
      <c r="D199" s="91">
        <v>2</v>
      </c>
      <c r="E199" s="91">
        <v>2</v>
      </c>
      <c r="F199" s="120">
        <f>4.8*E199/100</f>
        <v>9.6000000000000002E-2</v>
      </c>
      <c r="G199" s="120">
        <v>0</v>
      </c>
      <c r="H199" s="120">
        <f>19*E199/100</f>
        <v>0.38</v>
      </c>
      <c r="I199" s="120">
        <f>102*E199/100</f>
        <v>2.04</v>
      </c>
      <c r="J199" s="120">
        <f>875*E199/100</f>
        <v>17.5</v>
      </c>
      <c r="K199" s="120">
        <f>20*E199/100</f>
        <v>0.4</v>
      </c>
      <c r="L199" s="120">
        <f>50*E199/100</f>
        <v>1</v>
      </c>
      <c r="M199" s="120">
        <f>68*E199/100</f>
        <v>1.36</v>
      </c>
      <c r="N199" s="120">
        <f>2.3*E199/100</f>
        <v>4.5999999999999999E-2</v>
      </c>
      <c r="O199" s="120">
        <v>0</v>
      </c>
      <c r="P199" s="120">
        <v>0</v>
      </c>
      <c r="Q199" s="120">
        <v>0</v>
      </c>
      <c r="R199" s="120">
        <f>1.9*E199/100</f>
        <v>3.7999999999999999E-2</v>
      </c>
      <c r="S199" s="120">
        <f>45*E199/100</f>
        <v>0.9</v>
      </c>
      <c r="T199" s="77">
        <v>190</v>
      </c>
      <c r="U199" s="128">
        <f t="shared" si="32"/>
        <v>0.38</v>
      </c>
    </row>
    <row r="200" spans="1:21" x14ac:dyDescent="0.2">
      <c r="A200" s="1"/>
      <c r="B200" s="103" t="s">
        <v>24</v>
      </c>
      <c r="C200" s="104"/>
      <c r="D200" s="91">
        <v>0.5</v>
      </c>
      <c r="E200" s="91">
        <v>0.5</v>
      </c>
      <c r="F200" s="91">
        <v>0</v>
      </c>
      <c r="G200" s="91">
        <v>0</v>
      </c>
      <c r="H200" s="91">
        <v>0</v>
      </c>
      <c r="I200" s="91">
        <v>0</v>
      </c>
      <c r="J200" s="91">
        <v>0</v>
      </c>
      <c r="K200" s="91">
        <v>0</v>
      </c>
      <c r="L200" s="91">
        <v>0</v>
      </c>
      <c r="M200" s="91">
        <v>0</v>
      </c>
      <c r="N200" s="91">
        <v>0</v>
      </c>
      <c r="O200" s="91">
        <v>0</v>
      </c>
      <c r="P200" s="91">
        <v>0</v>
      </c>
      <c r="Q200" s="91">
        <v>0</v>
      </c>
      <c r="R200" s="93">
        <v>0</v>
      </c>
      <c r="S200" s="91">
        <v>0</v>
      </c>
      <c r="T200" s="77">
        <v>20.87</v>
      </c>
      <c r="U200" s="80">
        <f t="shared" si="32"/>
        <v>1.0435E-2</v>
      </c>
    </row>
    <row r="201" spans="1:21" x14ac:dyDescent="0.2">
      <c r="A201" s="86"/>
      <c r="B201" s="95" t="s">
        <v>25</v>
      </c>
      <c r="C201" s="116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90"/>
      <c r="S201" s="78"/>
      <c r="T201" s="77"/>
      <c r="U201" s="130">
        <f>SUM(U192:U200)</f>
        <v>40.534291000000003</v>
      </c>
    </row>
    <row r="202" spans="1:21" x14ac:dyDescent="0.2">
      <c r="A202" s="1" t="s">
        <v>133</v>
      </c>
      <c r="B202" s="115" t="s">
        <v>134</v>
      </c>
      <c r="C202" s="86">
        <v>180</v>
      </c>
      <c r="D202" s="91"/>
      <c r="E202" s="91"/>
      <c r="F202" s="86">
        <f>F203+F204+F205</f>
        <v>10.388</v>
      </c>
      <c r="G202" s="86">
        <f t="shared" ref="G202:S202" si="33">G203+G204+G205</f>
        <v>7.7809999999999997</v>
      </c>
      <c r="H202" s="86">
        <f t="shared" si="33"/>
        <v>51.012999999999998</v>
      </c>
      <c r="I202" s="86">
        <f t="shared" si="33"/>
        <v>320.96999999999997</v>
      </c>
      <c r="J202" s="86">
        <f t="shared" si="33"/>
        <v>138.55000000000001</v>
      </c>
      <c r="K202" s="86">
        <f t="shared" si="33"/>
        <v>58.94</v>
      </c>
      <c r="L202" s="86">
        <f t="shared" si="33"/>
        <v>80.569999999999993</v>
      </c>
      <c r="M202" s="86">
        <f t="shared" si="33"/>
        <v>245.69000000000003</v>
      </c>
      <c r="N202" s="86">
        <f t="shared" si="33"/>
        <v>6.5739999999999998</v>
      </c>
      <c r="O202" s="86">
        <f t="shared" si="33"/>
        <v>3.5000000000000003E-2</v>
      </c>
      <c r="P202" s="86">
        <f t="shared" si="33"/>
        <v>0</v>
      </c>
      <c r="Q202" s="86">
        <f t="shared" si="33"/>
        <v>0</v>
      </c>
      <c r="R202" s="87">
        <f t="shared" si="33"/>
        <v>0</v>
      </c>
      <c r="S202" s="86">
        <f t="shared" si="33"/>
        <v>0</v>
      </c>
      <c r="T202" s="77"/>
      <c r="U202" s="78"/>
    </row>
    <row r="203" spans="1:21" x14ac:dyDescent="0.2">
      <c r="A203" s="1"/>
      <c r="B203" s="110" t="s">
        <v>135</v>
      </c>
      <c r="C203" s="116"/>
      <c r="D203" s="79">
        <v>82</v>
      </c>
      <c r="E203" s="79">
        <v>82</v>
      </c>
      <c r="F203" s="79">
        <f>12.6*E203/100</f>
        <v>10.332000000000001</v>
      </c>
      <c r="G203" s="79">
        <f>3.3*E203/100</f>
        <v>2.7059999999999995</v>
      </c>
      <c r="H203" s="79">
        <f>62.1*E203/100</f>
        <v>50.921999999999997</v>
      </c>
      <c r="I203" s="79">
        <f>335*E203/100</f>
        <v>274.7</v>
      </c>
      <c r="J203" s="79">
        <f>167*E203/100</f>
        <v>136.94</v>
      </c>
      <c r="K203" s="79">
        <f>70*E203/100</f>
        <v>57.4</v>
      </c>
      <c r="L203" s="79">
        <f>98*E203/100</f>
        <v>80.36</v>
      </c>
      <c r="M203" s="79">
        <f>298*E203/100</f>
        <v>244.36</v>
      </c>
      <c r="N203" s="79">
        <f>8*E203/100</f>
        <v>6.56</v>
      </c>
      <c r="O203" s="79">
        <v>0</v>
      </c>
      <c r="P203" s="79">
        <v>0</v>
      </c>
      <c r="Q203" s="79">
        <v>0</v>
      </c>
      <c r="R203" s="117">
        <v>0</v>
      </c>
      <c r="S203" s="91">
        <v>0</v>
      </c>
      <c r="T203" s="77">
        <v>72.17</v>
      </c>
      <c r="U203" s="80">
        <f>D203*T203/1000</f>
        <v>5.9179400000000006</v>
      </c>
    </row>
    <row r="204" spans="1:21" x14ac:dyDescent="0.2">
      <c r="A204" s="1"/>
      <c r="B204" s="103" t="s">
        <v>24</v>
      </c>
      <c r="C204" s="116"/>
      <c r="D204" s="91">
        <v>1.8</v>
      </c>
      <c r="E204" s="94">
        <v>1.8</v>
      </c>
      <c r="F204" s="78">
        <v>0</v>
      </c>
      <c r="G204" s="78">
        <v>0</v>
      </c>
      <c r="H204" s="78">
        <v>0</v>
      </c>
      <c r="I204" s="78">
        <v>0</v>
      </c>
      <c r="J204" s="78">
        <v>0</v>
      </c>
      <c r="K204" s="78">
        <v>0</v>
      </c>
      <c r="L204" s="78">
        <v>0</v>
      </c>
      <c r="M204" s="78">
        <v>0</v>
      </c>
      <c r="N204" s="78">
        <v>0</v>
      </c>
      <c r="O204" s="78">
        <v>0</v>
      </c>
      <c r="P204" s="78">
        <v>0</v>
      </c>
      <c r="Q204" s="78">
        <v>0</v>
      </c>
      <c r="R204" s="90">
        <v>0</v>
      </c>
      <c r="S204" s="78">
        <v>0</v>
      </c>
      <c r="T204" s="77">
        <v>20.87</v>
      </c>
      <c r="U204" s="80">
        <f>D204*T204/1000</f>
        <v>3.7566000000000002E-2</v>
      </c>
    </row>
    <row r="205" spans="1:21" ht="13.5" customHeight="1" x14ac:dyDescent="0.2">
      <c r="A205" s="1"/>
      <c r="B205" s="103" t="s">
        <v>22</v>
      </c>
      <c r="C205" s="116"/>
      <c r="D205" s="91">
        <v>7</v>
      </c>
      <c r="E205" s="94">
        <v>7</v>
      </c>
      <c r="F205" s="16">
        <f>0.8*D205/100</f>
        <v>5.6000000000000008E-2</v>
      </c>
      <c r="G205" s="16">
        <f>72.5*D205/100</f>
        <v>5.0750000000000002</v>
      </c>
      <c r="H205" s="16">
        <f>1.3*D205/100</f>
        <v>9.0999999999999998E-2</v>
      </c>
      <c r="I205" s="16">
        <f>661*D205/100</f>
        <v>46.27</v>
      </c>
      <c r="J205" s="26">
        <f>23*D205/100</f>
        <v>1.61</v>
      </c>
      <c r="K205" s="16">
        <f>22*D205/100</f>
        <v>1.54</v>
      </c>
      <c r="L205" s="26">
        <f>3*D205/100</f>
        <v>0.21</v>
      </c>
      <c r="M205" s="16">
        <f>19*E205/100</f>
        <v>1.33</v>
      </c>
      <c r="N205" s="16">
        <f>0.2*E205/100</f>
        <v>1.4000000000000002E-2</v>
      </c>
      <c r="O205" s="16">
        <f>0.5*E205/100</f>
        <v>3.5000000000000003E-2</v>
      </c>
      <c r="P205" s="16">
        <v>0</v>
      </c>
      <c r="Q205" s="16">
        <v>0</v>
      </c>
      <c r="R205" s="18">
        <v>0</v>
      </c>
      <c r="S205" s="16">
        <v>0</v>
      </c>
      <c r="T205" s="77">
        <v>800</v>
      </c>
      <c r="U205" s="80">
        <f>D205*T205/1000</f>
        <v>5.6</v>
      </c>
    </row>
    <row r="206" spans="1:21" x14ac:dyDescent="0.2">
      <c r="A206" s="1"/>
      <c r="B206" s="95" t="s">
        <v>25</v>
      </c>
      <c r="C206" s="116"/>
      <c r="D206" s="91"/>
      <c r="E206" s="94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3"/>
      <c r="S206" s="91"/>
      <c r="T206" s="77"/>
      <c r="U206" s="130">
        <f>SUM(U203:U205)</f>
        <v>11.555506000000001</v>
      </c>
    </row>
    <row r="207" spans="1:21" x14ac:dyDescent="0.2">
      <c r="A207" s="71" t="s">
        <v>11</v>
      </c>
      <c r="B207" s="19" t="s">
        <v>1</v>
      </c>
      <c r="C207" s="19">
        <v>50</v>
      </c>
      <c r="D207" s="16">
        <v>50</v>
      </c>
      <c r="E207" s="16">
        <v>50</v>
      </c>
      <c r="F207" s="4">
        <f>7.7*E207/100</f>
        <v>3.85</v>
      </c>
      <c r="G207" s="4">
        <v>5.5</v>
      </c>
      <c r="H207" s="4">
        <f>49.8*E207/100</f>
        <v>24.9</v>
      </c>
      <c r="I207" s="4">
        <f>262*E207/100</f>
        <v>131</v>
      </c>
      <c r="J207" s="4">
        <f>127*E207/100</f>
        <v>63.5</v>
      </c>
      <c r="K207" s="4">
        <f>26*E207/100</f>
        <v>13</v>
      </c>
      <c r="L207" s="4">
        <f>35*E207/100</f>
        <v>17.5</v>
      </c>
      <c r="M207" s="4">
        <f>83*E207/100</f>
        <v>41.5</v>
      </c>
      <c r="N207" s="4">
        <f>1.6*E207/100</f>
        <v>0.8</v>
      </c>
      <c r="O207" s="64">
        <v>0</v>
      </c>
      <c r="P207" s="4">
        <f>0.16*E207/100</f>
        <v>0.08</v>
      </c>
      <c r="Q207" s="4">
        <f>0.08*E207/100</f>
        <v>0.04</v>
      </c>
      <c r="R207" s="21">
        <f>1.54*E207/100</f>
        <v>0.77</v>
      </c>
      <c r="S207" s="4">
        <v>0</v>
      </c>
      <c r="T207" s="16">
        <v>50</v>
      </c>
      <c r="U207" s="24">
        <f>E207*T207/1000</f>
        <v>2.5</v>
      </c>
    </row>
    <row r="208" spans="1:21" x14ac:dyDescent="0.2">
      <c r="A208" s="4" t="s">
        <v>98</v>
      </c>
      <c r="B208" s="19" t="s">
        <v>99</v>
      </c>
      <c r="C208" s="19">
        <v>50</v>
      </c>
      <c r="D208" s="16">
        <v>50</v>
      </c>
      <c r="E208" s="16">
        <v>50</v>
      </c>
      <c r="F208" s="4">
        <f>6.6*E208/100</f>
        <v>3.3</v>
      </c>
      <c r="G208" s="4">
        <f>1.2*E208/100</f>
        <v>0.6</v>
      </c>
      <c r="H208" s="4">
        <f>34.2*E208/100</f>
        <v>17.100000000000001</v>
      </c>
      <c r="I208" s="4">
        <f>181*E208/100</f>
        <v>90.5</v>
      </c>
      <c r="J208" s="4">
        <f>94*E208/100</f>
        <v>47</v>
      </c>
      <c r="K208" s="4">
        <f>34*E208/100</f>
        <v>17</v>
      </c>
      <c r="L208" s="4">
        <f>41*E208/100</f>
        <v>20.5</v>
      </c>
      <c r="M208" s="4">
        <f>120*E208/100</f>
        <v>60</v>
      </c>
      <c r="N208" s="4">
        <f>2.3*E208/100</f>
        <v>1.1499999999999999</v>
      </c>
      <c r="O208" s="64">
        <v>0</v>
      </c>
      <c r="P208" s="4">
        <v>0</v>
      </c>
      <c r="Q208" s="4">
        <v>0</v>
      </c>
      <c r="R208" s="21">
        <v>0</v>
      </c>
      <c r="S208" s="4">
        <v>0</v>
      </c>
      <c r="T208" s="16">
        <v>60</v>
      </c>
      <c r="U208" s="24">
        <f>E208*T208/1000</f>
        <v>3</v>
      </c>
    </row>
    <row r="209" spans="1:21" x14ac:dyDescent="0.2">
      <c r="A209" s="4" t="s">
        <v>93</v>
      </c>
      <c r="B209" s="19" t="s">
        <v>94</v>
      </c>
      <c r="C209" s="19">
        <v>200</v>
      </c>
      <c r="D209" s="16"/>
      <c r="E209" s="4"/>
      <c r="F209" s="47">
        <f>F210+F211+F212+F213</f>
        <v>0.44</v>
      </c>
      <c r="G209" s="47">
        <f t="shared" ref="G209:S209" si="34">G210+G211+G212+G213</f>
        <v>0</v>
      </c>
      <c r="H209" s="47">
        <f t="shared" si="34"/>
        <v>31.76</v>
      </c>
      <c r="I209" s="47">
        <f t="shared" si="34"/>
        <v>126.4</v>
      </c>
      <c r="J209" s="47">
        <f t="shared" si="34"/>
        <v>0.6</v>
      </c>
      <c r="K209" s="47">
        <f t="shared" si="34"/>
        <v>0.60000000000000009</v>
      </c>
      <c r="L209" s="47">
        <f t="shared" si="34"/>
        <v>0</v>
      </c>
      <c r="M209" s="47">
        <f t="shared" si="34"/>
        <v>0</v>
      </c>
      <c r="N209" s="47">
        <f t="shared" si="34"/>
        <v>0.03</v>
      </c>
      <c r="O209" s="65">
        <f t="shared" si="34"/>
        <v>0</v>
      </c>
      <c r="P209" s="47">
        <f t="shared" si="34"/>
        <v>0</v>
      </c>
      <c r="Q209" s="47">
        <f t="shared" si="34"/>
        <v>0</v>
      </c>
      <c r="R209" s="47">
        <f t="shared" si="34"/>
        <v>0</v>
      </c>
      <c r="S209" s="47">
        <f t="shared" si="34"/>
        <v>0.24000000000000002</v>
      </c>
      <c r="T209" s="16"/>
      <c r="U209" s="16"/>
    </row>
    <row r="210" spans="1:21" x14ac:dyDescent="0.2">
      <c r="A210" s="4"/>
      <c r="B210" s="22" t="s">
        <v>95</v>
      </c>
      <c r="C210" s="22"/>
      <c r="D210" s="16">
        <v>20</v>
      </c>
      <c r="E210" s="16">
        <v>50</v>
      </c>
      <c r="F210" s="16">
        <f>2.2*D210/100</f>
        <v>0.44</v>
      </c>
      <c r="G210" s="16">
        <v>0</v>
      </c>
      <c r="H210" s="16">
        <f>59*D210/100</f>
        <v>11.8</v>
      </c>
      <c r="I210" s="16">
        <f>253*D210/100</f>
        <v>50.6</v>
      </c>
      <c r="J210" s="16">
        <v>0</v>
      </c>
      <c r="K210" s="16">
        <v>0.2</v>
      </c>
      <c r="L210" s="16">
        <v>0</v>
      </c>
      <c r="M210" s="16">
        <v>0</v>
      </c>
      <c r="N210" s="16">
        <v>0.03</v>
      </c>
      <c r="O210" s="61">
        <v>0</v>
      </c>
      <c r="P210" s="16">
        <v>0</v>
      </c>
      <c r="Q210" s="16">
        <v>0</v>
      </c>
      <c r="R210" s="18">
        <v>0</v>
      </c>
      <c r="S210" s="16">
        <v>0.04</v>
      </c>
      <c r="T210" s="16">
        <v>260</v>
      </c>
      <c r="U210" s="24">
        <f>D210*T210/1000</f>
        <v>5.2</v>
      </c>
    </row>
    <row r="211" spans="1:21" x14ac:dyDescent="0.2">
      <c r="A211" s="4"/>
      <c r="B211" s="22" t="s">
        <v>15</v>
      </c>
      <c r="C211" s="22"/>
      <c r="D211" s="16">
        <v>20</v>
      </c>
      <c r="E211" s="16">
        <v>20</v>
      </c>
      <c r="F211" s="24">
        <v>0</v>
      </c>
      <c r="G211" s="24">
        <v>0</v>
      </c>
      <c r="H211" s="24">
        <f>99.8*E211/100</f>
        <v>19.96</v>
      </c>
      <c r="I211" s="24">
        <f>379*E211/100</f>
        <v>75.8</v>
      </c>
      <c r="J211" s="24">
        <f>3*E211/100</f>
        <v>0.6</v>
      </c>
      <c r="K211" s="24">
        <f>2*E211/100</f>
        <v>0.4</v>
      </c>
      <c r="L211" s="24">
        <v>0</v>
      </c>
      <c r="M211" s="24">
        <v>0</v>
      </c>
      <c r="N211" s="24">
        <v>0</v>
      </c>
      <c r="O211" s="52">
        <v>0</v>
      </c>
      <c r="P211" s="24">
        <v>0</v>
      </c>
      <c r="Q211" s="24">
        <v>0</v>
      </c>
      <c r="R211" s="49">
        <v>0</v>
      </c>
      <c r="S211" s="24">
        <v>0</v>
      </c>
      <c r="T211" s="16">
        <v>75.28</v>
      </c>
      <c r="U211" s="24">
        <f>D211*T211/1000</f>
        <v>1.5055999999999998</v>
      </c>
    </row>
    <row r="212" spans="1:21" x14ac:dyDescent="0.2">
      <c r="A212" s="4"/>
      <c r="B212" s="22" t="s">
        <v>20</v>
      </c>
      <c r="C212" s="22"/>
      <c r="D212" s="16">
        <v>200</v>
      </c>
      <c r="E212" s="16">
        <v>200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61">
        <v>0</v>
      </c>
      <c r="P212" s="16">
        <v>0</v>
      </c>
      <c r="Q212" s="16">
        <v>0</v>
      </c>
      <c r="R212" s="18">
        <v>0</v>
      </c>
      <c r="S212" s="16">
        <v>0</v>
      </c>
      <c r="T212" s="16">
        <v>0</v>
      </c>
      <c r="U212" s="24">
        <f>D212*T212/1000</f>
        <v>0</v>
      </c>
    </row>
    <row r="213" spans="1:21" x14ac:dyDescent="0.2">
      <c r="A213" s="4"/>
      <c r="B213" s="22" t="s">
        <v>96</v>
      </c>
      <c r="C213" s="22"/>
      <c r="D213" s="16">
        <v>0.2</v>
      </c>
      <c r="E213" s="16">
        <v>0.2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61">
        <v>0</v>
      </c>
      <c r="P213" s="16">
        <v>0</v>
      </c>
      <c r="Q213" s="16">
        <v>0</v>
      </c>
      <c r="R213" s="18">
        <v>0</v>
      </c>
      <c r="S213" s="16">
        <v>0.2</v>
      </c>
      <c r="T213" s="16">
        <v>350</v>
      </c>
      <c r="U213" s="24">
        <f>D213*T213/1000</f>
        <v>7.0000000000000007E-2</v>
      </c>
    </row>
    <row r="214" spans="1:21" x14ac:dyDescent="0.2">
      <c r="A214" s="4"/>
      <c r="B214" s="28" t="s">
        <v>25</v>
      </c>
      <c r="C214" s="28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61"/>
      <c r="P214" s="16"/>
      <c r="Q214" s="16"/>
      <c r="R214" s="18"/>
      <c r="S214" s="16"/>
      <c r="T214" s="16"/>
      <c r="U214" s="32">
        <f>SUM(U210:U213)</f>
        <v>6.7756000000000007</v>
      </c>
    </row>
    <row r="215" spans="1:21" ht="17.25" customHeight="1" x14ac:dyDescent="0.2">
      <c r="A215" s="6" t="s">
        <v>104</v>
      </c>
      <c r="B215" s="39" t="s">
        <v>105</v>
      </c>
      <c r="C215" s="4">
        <v>60</v>
      </c>
      <c r="D215" s="16">
        <v>63.6</v>
      </c>
      <c r="E215" s="16">
        <v>60</v>
      </c>
      <c r="F215" s="4">
        <v>0.48</v>
      </c>
      <c r="G215" s="4">
        <v>0.06</v>
      </c>
      <c r="H215" s="4">
        <v>1.5</v>
      </c>
      <c r="I215" s="4">
        <v>8.4</v>
      </c>
      <c r="J215" s="4">
        <v>84.6</v>
      </c>
      <c r="K215" s="4">
        <v>13.8</v>
      </c>
      <c r="L215" s="4">
        <v>8.4</v>
      </c>
      <c r="M215" s="4">
        <v>25.2</v>
      </c>
      <c r="N215" s="4">
        <v>0.36</v>
      </c>
      <c r="O215" s="64">
        <v>6</v>
      </c>
      <c r="P215" s="4">
        <v>1.7999999999999999E-2</v>
      </c>
      <c r="Q215" s="4">
        <v>2.4E-2</v>
      </c>
      <c r="R215" s="21">
        <v>0.12</v>
      </c>
      <c r="S215" s="4">
        <v>6</v>
      </c>
      <c r="T215" s="16">
        <v>50</v>
      </c>
      <c r="U215" s="32">
        <f>D215*T215/1000</f>
        <v>3.18</v>
      </c>
    </row>
    <row r="216" spans="1:21" ht="18.75" customHeight="1" x14ac:dyDescent="0.2">
      <c r="A216" s="6" t="s">
        <v>11</v>
      </c>
      <c r="B216" s="19" t="s">
        <v>103</v>
      </c>
      <c r="C216" s="19">
        <v>180</v>
      </c>
      <c r="D216" s="41" t="s">
        <v>26</v>
      </c>
      <c r="E216" s="16">
        <v>180</v>
      </c>
      <c r="F216" s="4">
        <v>1.6</v>
      </c>
      <c r="G216" s="4">
        <v>0.4</v>
      </c>
      <c r="H216" s="4">
        <v>15</v>
      </c>
      <c r="I216" s="4">
        <v>76</v>
      </c>
      <c r="J216" s="4">
        <v>310</v>
      </c>
      <c r="K216" s="4">
        <v>70</v>
      </c>
      <c r="L216" s="4">
        <v>22</v>
      </c>
      <c r="M216" s="4">
        <v>34</v>
      </c>
      <c r="N216" s="4">
        <v>0.2</v>
      </c>
      <c r="O216" s="64">
        <v>20</v>
      </c>
      <c r="P216" s="4">
        <v>0.12</v>
      </c>
      <c r="Q216" s="4">
        <v>0.06</v>
      </c>
      <c r="R216" s="21">
        <v>0.6</v>
      </c>
      <c r="S216" s="4">
        <v>76</v>
      </c>
      <c r="T216" s="16">
        <v>110</v>
      </c>
      <c r="U216" s="32">
        <f>C216*T216/1000</f>
        <v>19.8</v>
      </c>
    </row>
    <row r="217" spans="1:21" x14ac:dyDescent="0.2">
      <c r="A217" s="6"/>
      <c r="B217" s="4" t="s">
        <v>12</v>
      </c>
      <c r="C217" s="82">
        <f>C191+C202+C207+C208+C209+C215+C216</f>
        <v>860</v>
      </c>
      <c r="D217" s="16"/>
      <c r="E217" s="16"/>
      <c r="F217" s="82">
        <f t="shared" ref="F217:S217" si="35">F191+F202+F207+F208+F209+F215+F216</f>
        <v>44.426599999999993</v>
      </c>
      <c r="G217" s="82">
        <f t="shared" si="35"/>
        <v>39.513200000000005</v>
      </c>
      <c r="H217" s="82">
        <f t="shared" si="35"/>
        <v>144.43299999999999</v>
      </c>
      <c r="I217" s="82">
        <f t="shared" si="35"/>
        <v>1090.7939999999999</v>
      </c>
      <c r="J217" s="82">
        <f t="shared" si="35"/>
        <v>1049.096</v>
      </c>
      <c r="K217" s="82">
        <f t="shared" si="35"/>
        <v>185.88399999999999</v>
      </c>
      <c r="L217" s="82">
        <f t="shared" si="35"/>
        <v>262.61799999999994</v>
      </c>
      <c r="M217" s="82">
        <f t="shared" si="35"/>
        <v>631.96800000000007</v>
      </c>
      <c r="N217" s="82">
        <f t="shared" si="35"/>
        <v>11.0032</v>
      </c>
      <c r="O217" s="82">
        <f t="shared" si="35"/>
        <v>115.49499999999999</v>
      </c>
      <c r="P217" s="82">
        <f t="shared" si="35"/>
        <v>0.218</v>
      </c>
      <c r="Q217" s="82">
        <f t="shared" si="35"/>
        <v>0.124</v>
      </c>
      <c r="R217" s="82">
        <f t="shared" si="35"/>
        <v>15.274599999999996</v>
      </c>
      <c r="S217" s="82">
        <f t="shared" si="35"/>
        <v>85.740399999999994</v>
      </c>
      <c r="T217" s="16"/>
      <c r="U217" s="33">
        <f>U201+U206+U207+U208+U214+U215+U216</f>
        <v>87.345397000000006</v>
      </c>
    </row>
    <row r="218" spans="1:21" x14ac:dyDescent="0.2">
      <c r="A218" s="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61"/>
      <c r="P218" s="16"/>
      <c r="Q218" s="16"/>
      <c r="R218" s="18"/>
      <c r="S218" s="16"/>
      <c r="T218" s="16"/>
      <c r="U218" s="16"/>
    </row>
    <row r="219" spans="1:21" x14ac:dyDescent="0.2">
      <c r="A219" s="6"/>
      <c r="B219" s="17" t="s">
        <v>83</v>
      </c>
      <c r="C219" s="17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61"/>
      <c r="P219" s="16"/>
      <c r="Q219" s="16"/>
      <c r="R219" s="18"/>
      <c r="S219" s="16"/>
      <c r="T219" s="16"/>
      <c r="U219" s="16"/>
    </row>
    <row r="220" spans="1:21" x14ac:dyDescent="0.2">
      <c r="A220" s="6"/>
      <c r="B220" s="17" t="s">
        <v>0</v>
      </c>
      <c r="C220" s="17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61"/>
      <c r="P220" s="16"/>
      <c r="Q220" s="16"/>
      <c r="R220" s="18"/>
      <c r="S220" s="16"/>
      <c r="T220" s="16"/>
      <c r="U220" s="16"/>
    </row>
    <row r="221" spans="1:21" ht="38.25" x14ac:dyDescent="0.2">
      <c r="A221" s="2" t="s">
        <v>40</v>
      </c>
      <c r="B221" s="132" t="s">
        <v>145</v>
      </c>
      <c r="C221" s="133">
        <v>200</v>
      </c>
      <c r="D221" s="77"/>
      <c r="E221" s="134"/>
      <c r="F221" s="134">
        <f>F222+F223+F224+F225+F226+F227+F228+F229+F230+F231+F232</f>
        <v>19.261399999999998</v>
      </c>
      <c r="G221" s="134">
        <f t="shared" ref="G221:S221" si="36">G222+G223+G224+G225+G226+G227+G228+G229+G230+G231+G232</f>
        <v>16.824400000000001</v>
      </c>
      <c r="H221" s="134">
        <f t="shared" si="36"/>
        <v>72.174399999999991</v>
      </c>
      <c r="I221" s="134">
        <f t="shared" si="36"/>
        <v>517.47299999999996</v>
      </c>
      <c r="J221" s="134">
        <f t="shared" si="36"/>
        <v>478.72800000000001</v>
      </c>
      <c r="K221" s="134">
        <f t="shared" si="36"/>
        <v>401.74400000000003</v>
      </c>
      <c r="L221" s="134">
        <f t="shared" si="36"/>
        <v>58.182000000000002</v>
      </c>
      <c r="M221" s="134">
        <f t="shared" si="36"/>
        <v>379.64800000000002</v>
      </c>
      <c r="N221" s="134">
        <f t="shared" si="36"/>
        <v>0.77359999999999995</v>
      </c>
      <c r="O221" s="134">
        <f t="shared" si="36"/>
        <v>0</v>
      </c>
      <c r="P221" s="134">
        <f t="shared" si="36"/>
        <v>0</v>
      </c>
      <c r="Q221" s="134">
        <f t="shared" si="36"/>
        <v>0</v>
      </c>
      <c r="R221" s="134">
        <f t="shared" si="36"/>
        <v>0.28992000000000001</v>
      </c>
      <c r="S221" s="134">
        <f t="shared" si="36"/>
        <v>1.3608</v>
      </c>
      <c r="T221" s="77"/>
      <c r="U221" s="77"/>
    </row>
    <row r="222" spans="1:21" x14ac:dyDescent="0.2">
      <c r="A222" s="1"/>
      <c r="B222" s="121" t="s">
        <v>42</v>
      </c>
      <c r="C222" s="116"/>
      <c r="D222" s="78">
        <v>67.2</v>
      </c>
      <c r="E222" s="78">
        <v>65</v>
      </c>
      <c r="F222" s="78">
        <f>16.7*E222/100</f>
        <v>10.855</v>
      </c>
      <c r="G222" s="78">
        <f>9*E222/100</f>
        <v>5.85</v>
      </c>
      <c r="H222" s="78">
        <f>2*E222/100</f>
        <v>1.3</v>
      </c>
      <c r="I222" s="78">
        <f>155.3*E222/100</f>
        <v>100.94499999999999</v>
      </c>
      <c r="J222" s="78">
        <f>112*E222/100</f>
        <v>72.8</v>
      </c>
      <c r="K222" s="78">
        <f>164*E222/100</f>
        <v>106.6</v>
      </c>
      <c r="L222" s="78">
        <f>23*E222/100</f>
        <v>14.95</v>
      </c>
      <c r="M222" s="78">
        <f>220*E222/100</f>
        <v>143</v>
      </c>
      <c r="N222" s="78">
        <f>0.4*E222/100</f>
        <v>0.26</v>
      </c>
      <c r="O222" s="78">
        <v>0</v>
      </c>
      <c r="P222" s="78">
        <v>0</v>
      </c>
      <c r="Q222" s="78">
        <v>0</v>
      </c>
      <c r="R222" s="90">
        <v>0</v>
      </c>
      <c r="S222" s="78">
        <v>0</v>
      </c>
      <c r="T222" s="77">
        <v>390</v>
      </c>
      <c r="U222" s="80">
        <f>D222*T222/1000</f>
        <v>26.207999999999998</v>
      </c>
    </row>
    <row r="223" spans="1:21" x14ac:dyDescent="0.2">
      <c r="A223" s="1"/>
      <c r="B223" s="121" t="s">
        <v>43</v>
      </c>
      <c r="C223" s="116"/>
      <c r="D223" s="78">
        <v>7.2</v>
      </c>
      <c r="E223" s="78">
        <v>7.2</v>
      </c>
      <c r="F223" s="78">
        <f>10.3*E223/100</f>
        <v>0.74160000000000015</v>
      </c>
      <c r="G223" s="78">
        <f>1*E223/100</f>
        <v>7.2000000000000008E-2</v>
      </c>
      <c r="H223" s="78">
        <f>67.9*E223/100</f>
        <v>4.8888000000000007</v>
      </c>
      <c r="I223" s="78">
        <f>328*E223/100</f>
        <v>23.616</v>
      </c>
      <c r="J223" s="78">
        <f>120*E223/100</f>
        <v>8.64</v>
      </c>
      <c r="K223" s="78">
        <f>20*E223/100</f>
        <v>1.44</v>
      </c>
      <c r="L223" s="78">
        <f>30*E223/100</f>
        <v>2.16</v>
      </c>
      <c r="M223" s="78">
        <f>84*E223/100</f>
        <v>6.0480000000000009</v>
      </c>
      <c r="N223" s="78">
        <f>2.3*E223/100</f>
        <v>0.1656</v>
      </c>
      <c r="O223" s="78">
        <v>0</v>
      </c>
      <c r="P223" s="78">
        <v>0</v>
      </c>
      <c r="Q223" s="78">
        <v>0</v>
      </c>
      <c r="R223" s="90">
        <v>0</v>
      </c>
      <c r="S223" s="78">
        <v>0</v>
      </c>
      <c r="T223" s="77">
        <v>58.52</v>
      </c>
      <c r="U223" s="80">
        <f>D223*T223/1000</f>
        <v>0.42134400000000005</v>
      </c>
    </row>
    <row r="224" spans="1:21" x14ac:dyDescent="0.2">
      <c r="A224" s="1"/>
      <c r="B224" s="121" t="s">
        <v>15</v>
      </c>
      <c r="C224" s="116"/>
      <c r="D224" s="78">
        <v>16.8</v>
      </c>
      <c r="E224" s="78">
        <v>16.8</v>
      </c>
      <c r="F224" s="108">
        <v>0</v>
      </c>
      <c r="G224" s="108">
        <v>0</v>
      </c>
      <c r="H224" s="108">
        <f>99.8*E224/100</f>
        <v>16.766400000000001</v>
      </c>
      <c r="I224" s="108">
        <f>379*E224/100</f>
        <v>63.671999999999997</v>
      </c>
      <c r="J224" s="108">
        <f>3*E224/100</f>
        <v>0.504</v>
      </c>
      <c r="K224" s="108">
        <f>2*E224/100</f>
        <v>0.33600000000000002</v>
      </c>
      <c r="L224" s="108">
        <v>0</v>
      </c>
      <c r="M224" s="108">
        <v>0</v>
      </c>
      <c r="N224" s="108">
        <v>0</v>
      </c>
      <c r="O224" s="108">
        <v>0</v>
      </c>
      <c r="P224" s="108">
        <v>0</v>
      </c>
      <c r="Q224" s="108">
        <v>0</v>
      </c>
      <c r="R224" s="109">
        <v>0</v>
      </c>
      <c r="S224" s="94">
        <v>0</v>
      </c>
      <c r="T224" s="77">
        <v>75.28</v>
      </c>
      <c r="U224" s="80">
        <f>D224*T224/1000</f>
        <v>1.2647040000000003</v>
      </c>
    </row>
    <row r="225" spans="1:21" x14ac:dyDescent="0.2">
      <c r="A225" s="1"/>
      <c r="B225" s="121" t="s">
        <v>24</v>
      </c>
      <c r="C225" s="116"/>
      <c r="D225" s="78">
        <v>1</v>
      </c>
      <c r="E225" s="78">
        <v>1</v>
      </c>
      <c r="F225" s="78">
        <v>0</v>
      </c>
      <c r="G225" s="78">
        <v>0</v>
      </c>
      <c r="H225" s="78">
        <v>0</v>
      </c>
      <c r="I225" s="78">
        <v>0</v>
      </c>
      <c r="J225" s="78">
        <v>0</v>
      </c>
      <c r="K225" s="78">
        <v>0</v>
      </c>
      <c r="L225" s="78">
        <v>0</v>
      </c>
      <c r="M225" s="78">
        <v>0</v>
      </c>
      <c r="N225" s="78">
        <v>0</v>
      </c>
      <c r="O225" s="78">
        <v>0</v>
      </c>
      <c r="P225" s="78">
        <v>0</v>
      </c>
      <c r="Q225" s="78">
        <v>0</v>
      </c>
      <c r="R225" s="90">
        <v>0</v>
      </c>
      <c r="S225" s="78">
        <v>0</v>
      </c>
      <c r="T225" s="77">
        <v>20.87</v>
      </c>
      <c r="U225" s="80">
        <f>D225*T225/1000</f>
        <v>2.087E-2</v>
      </c>
    </row>
    <row r="226" spans="1:21" x14ac:dyDescent="0.2">
      <c r="A226" s="1"/>
      <c r="B226" s="103" t="s">
        <v>17</v>
      </c>
      <c r="C226" s="116"/>
      <c r="D226" s="78">
        <v>29</v>
      </c>
      <c r="E226" s="78">
        <v>21.6</v>
      </c>
      <c r="F226" s="78">
        <f>1.3*E226/100</f>
        <v>0.28079999999999999</v>
      </c>
      <c r="G226" s="78">
        <v>0</v>
      </c>
      <c r="H226" s="78">
        <f>6.9*E226/100</f>
        <v>1.4904000000000002</v>
      </c>
      <c r="I226" s="78">
        <f>35*E226/100</f>
        <v>7.56</v>
      </c>
      <c r="J226" s="78">
        <f>200*E226/100</f>
        <v>43.2</v>
      </c>
      <c r="K226" s="78">
        <f>27*E226/100</f>
        <v>5.8320000000000007</v>
      </c>
      <c r="L226" s="78">
        <f>38*E226/100</f>
        <v>8.2080000000000002</v>
      </c>
      <c r="M226" s="78">
        <f>55*E226/100</f>
        <v>11.88</v>
      </c>
      <c r="N226" s="78">
        <f>0.7*E226/100</f>
        <v>0.1512</v>
      </c>
      <c r="O226" s="78">
        <v>0</v>
      </c>
      <c r="P226" s="78">
        <v>0</v>
      </c>
      <c r="Q226" s="78">
        <v>0</v>
      </c>
      <c r="R226" s="90">
        <f>1*E226/100</f>
        <v>0.21600000000000003</v>
      </c>
      <c r="S226" s="78">
        <f>5*E226/100</f>
        <v>1.08</v>
      </c>
      <c r="T226" s="77">
        <v>35</v>
      </c>
      <c r="U226" s="80">
        <f>D226*T226/1000</f>
        <v>1.0149999999999999</v>
      </c>
    </row>
    <row r="227" spans="1:21" x14ac:dyDescent="0.2">
      <c r="A227" s="1"/>
      <c r="B227" s="121" t="s">
        <v>28</v>
      </c>
      <c r="C227" s="116"/>
      <c r="D227" s="78">
        <v>4.8</v>
      </c>
      <c r="E227" s="78">
        <v>4.8</v>
      </c>
      <c r="F227" s="78">
        <f>12.7*E227/100</f>
        <v>0.60959999999999992</v>
      </c>
      <c r="G227" s="78">
        <f>11.5*E227/100</f>
        <v>0.55199999999999994</v>
      </c>
      <c r="H227" s="78">
        <v>0</v>
      </c>
      <c r="I227" s="78">
        <f>157*E227/100</f>
        <v>7.5360000000000005</v>
      </c>
      <c r="J227" s="78">
        <f>140*E227/100</f>
        <v>6.72</v>
      </c>
      <c r="K227" s="78">
        <f>55*E227/100</f>
        <v>2.64</v>
      </c>
      <c r="L227" s="78">
        <f>12*E227/100</f>
        <v>0.57599999999999996</v>
      </c>
      <c r="M227" s="78">
        <f>192*E227/100</f>
        <v>9.2159999999999993</v>
      </c>
      <c r="N227" s="78">
        <f>2.5*E227/100</f>
        <v>0.12</v>
      </c>
      <c r="O227" s="78">
        <v>0</v>
      </c>
      <c r="P227" s="78">
        <v>0</v>
      </c>
      <c r="Q227" s="78">
        <v>0</v>
      </c>
      <c r="R227" s="90">
        <v>0</v>
      </c>
      <c r="S227" s="78">
        <v>0</v>
      </c>
      <c r="T227" s="77">
        <v>10.3</v>
      </c>
      <c r="U227" s="80">
        <f>D227*T227/40</f>
        <v>1.2360000000000002</v>
      </c>
    </row>
    <row r="228" spans="1:21" x14ac:dyDescent="0.2">
      <c r="A228" s="1"/>
      <c r="B228" s="103" t="s">
        <v>14</v>
      </c>
      <c r="C228" s="116"/>
      <c r="D228" s="78">
        <v>21.6</v>
      </c>
      <c r="E228" s="78">
        <v>21.6</v>
      </c>
      <c r="F228" s="91">
        <f>2.8*E228/100</f>
        <v>0.6048</v>
      </c>
      <c r="G228" s="91">
        <f>3.2*E228/100</f>
        <v>0.69120000000000004</v>
      </c>
      <c r="H228" s="91">
        <f>4.7*E228/100</f>
        <v>1.0152000000000001</v>
      </c>
      <c r="I228" s="91">
        <f>58*E228/100</f>
        <v>12.528000000000002</v>
      </c>
      <c r="J228" s="91">
        <f>146*E228/100</f>
        <v>31.536000000000005</v>
      </c>
      <c r="K228" s="92">
        <f>120*E228/100</f>
        <v>25.92</v>
      </c>
      <c r="L228" s="91">
        <f>14*E228/100</f>
        <v>3.0240000000000005</v>
      </c>
      <c r="M228" s="92">
        <f>90*E228/100</f>
        <v>19.440000000000001</v>
      </c>
      <c r="N228" s="91">
        <v>0</v>
      </c>
      <c r="O228" s="91">
        <v>0</v>
      </c>
      <c r="P228" s="91">
        <v>0</v>
      </c>
      <c r="Q228" s="91">
        <v>0</v>
      </c>
      <c r="R228" s="93">
        <v>0</v>
      </c>
      <c r="S228" s="91">
        <f>1.3*E228/100</f>
        <v>0.28079999999999999</v>
      </c>
      <c r="T228" s="77">
        <v>79.64</v>
      </c>
      <c r="U228" s="80">
        <f>D228*T228/1000</f>
        <v>1.7202240000000002</v>
      </c>
    </row>
    <row r="229" spans="1:21" x14ac:dyDescent="0.2">
      <c r="A229" s="1"/>
      <c r="B229" s="103" t="s">
        <v>19</v>
      </c>
      <c r="C229" s="116"/>
      <c r="D229" s="78">
        <v>4.8</v>
      </c>
      <c r="E229" s="78">
        <v>4.8</v>
      </c>
      <c r="F229" s="91">
        <v>0</v>
      </c>
      <c r="G229" s="91">
        <f>99.9*E229/100</f>
        <v>4.7951999999999995</v>
      </c>
      <c r="H229" s="91">
        <v>0</v>
      </c>
      <c r="I229" s="91">
        <f>899*E229/100</f>
        <v>43.152000000000001</v>
      </c>
      <c r="J229" s="91">
        <v>0</v>
      </c>
      <c r="K229" s="91">
        <v>0</v>
      </c>
      <c r="L229" s="91">
        <v>0</v>
      </c>
      <c r="M229" s="91">
        <v>0</v>
      </c>
      <c r="N229" s="91">
        <v>0</v>
      </c>
      <c r="O229" s="91">
        <v>0</v>
      </c>
      <c r="P229" s="91">
        <v>0</v>
      </c>
      <c r="Q229" s="91">
        <v>0</v>
      </c>
      <c r="R229" s="93">
        <v>0</v>
      </c>
      <c r="S229" s="91">
        <v>0</v>
      </c>
      <c r="T229" s="77">
        <v>136.76</v>
      </c>
      <c r="U229" s="80">
        <f>D229*T229/1000</f>
        <v>0.65644800000000003</v>
      </c>
    </row>
    <row r="230" spans="1:21" x14ac:dyDescent="0.2">
      <c r="A230" s="1"/>
      <c r="B230" s="121" t="s">
        <v>34</v>
      </c>
      <c r="C230" s="116"/>
      <c r="D230" s="78">
        <v>4.8</v>
      </c>
      <c r="E230" s="78">
        <v>4.8</v>
      </c>
      <c r="F230" s="94">
        <f>7.7*E230/100</f>
        <v>0.36959999999999998</v>
      </c>
      <c r="G230" s="94">
        <f>3*E230/100</f>
        <v>0.14399999999999999</v>
      </c>
      <c r="H230" s="94">
        <f>49.8*E230/100</f>
        <v>2.3903999999999996</v>
      </c>
      <c r="I230" s="94">
        <f>262*E230/100</f>
        <v>12.575999999999999</v>
      </c>
      <c r="J230" s="94">
        <f>127*E230/100</f>
        <v>6.0960000000000001</v>
      </c>
      <c r="K230" s="94">
        <f>26*E230/100</f>
        <v>1.248</v>
      </c>
      <c r="L230" s="94">
        <f>35*E230/100</f>
        <v>1.68</v>
      </c>
      <c r="M230" s="94">
        <f>83*E230/100</f>
        <v>3.984</v>
      </c>
      <c r="N230" s="94">
        <f>1.6*E230/100</f>
        <v>7.6799999999999993E-2</v>
      </c>
      <c r="O230" s="94">
        <v>0</v>
      </c>
      <c r="P230" s="94">
        <v>0</v>
      </c>
      <c r="Q230" s="94">
        <v>0</v>
      </c>
      <c r="R230" s="135">
        <f>1.54*E230/100</f>
        <v>7.392E-2</v>
      </c>
      <c r="S230" s="94">
        <v>0</v>
      </c>
      <c r="T230" s="77">
        <v>90</v>
      </c>
      <c r="U230" s="80">
        <f>D230*T230/1000</f>
        <v>0.432</v>
      </c>
    </row>
    <row r="231" spans="1:21" x14ac:dyDescent="0.2">
      <c r="A231" s="1"/>
      <c r="B231" s="121" t="s">
        <v>27</v>
      </c>
      <c r="C231" s="116"/>
      <c r="D231" s="78">
        <v>4.8</v>
      </c>
      <c r="E231" s="78">
        <v>4.8</v>
      </c>
      <c r="F231" s="78">
        <f>2.5*E231/100</f>
        <v>0.12</v>
      </c>
      <c r="G231" s="78">
        <f>15*E231/100</f>
        <v>0.72</v>
      </c>
      <c r="H231" s="78">
        <f>3.4*E231/100</f>
        <v>0.16320000000000001</v>
      </c>
      <c r="I231" s="78">
        <f>206*E231/100</f>
        <v>9.8879999999999999</v>
      </c>
      <c r="J231" s="78">
        <f>109*E231/100</f>
        <v>5.2319999999999993</v>
      </c>
      <c r="K231" s="78">
        <f>86*E231/100</f>
        <v>4.1280000000000001</v>
      </c>
      <c r="L231" s="78">
        <f>8*E231/100</f>
        <v>0.38400000000000001</v>
      </c>
      <c r="M231" s="78">
        <f>60*E231/100</f>
        <v>2.88</v>
      </c>
      <c r="N231" s="78">
        <v>0</v>
      </c>
      <c r="O231" s="78">
        <v>0</v>
      </c>
      <c r="P231" s="78">
        <v>0</v>
      </c>
      <c r="Q231" s="78">
        <v>0</v>
      </c>
      <c r="R231" s="90">
        <v>0</v>
      </c>
      <c r="S231" s="78">
        <v>0</v>
      </c>
      <c r="T231" s="77">
        <v>303.64</v>
      </c>
      <c r="U231" s="80">
        <f>D231*T231/1000</f>
        <v>1.4574719999999999</v>
      </c>
    </row>
    <row r="232" spans="1:21" x14ac:dyDescent="0.2">
      <c r="A232" s="1"/>
      <c r="B232" s="121" t="s">
        <v>44</v>
      </c>
      <c r="C232" s="116"/>
      <c r="D232" s="78">
        <v>80</v>
      </c>
      <c r="E232" s="78">
        <v>80</v>
      </c>
      <c r="F232" s="78">
        <f>7.1*E232/100</f>
        <v>5.68</v>
      </c>
      <c r="G232" s="78">
        <f>5*E232/100</f>
        <v>4</v>
      </c>
      <c r="H232" s="78">
        <f>55.2*E232/100</f>
        <v>44.16</v>
      </c>
      <c r="I232" s="78">
        <f>295*E232/100</f>
        <v>236</v>
      </c>
      <c r="J232" s="78">
        <f>380*E232/100</f>
        <v>304</v>
      </c>
      <c r="K232" s="78">
        <f>317*E232/100</f>
        <v>253.6</v>
      </c>
      <c r="L232" s="78">
        <f>34*E232/100</f>
        <v>27.2</v>
      </c>
      <c r="M232" s="78">
        <f>229*E232/100</f>
        <v>183.2</v>
      </c>
      <c r="N232" s="78">
        <v>0</v>
      </c>
      <c r="O232" s="78">
        <v>0</v>
      </c>
      <c r="P232" s="78">
        <v>0</v>
      </c>
      <c r="Q232" s="78">
        <v>0</v>
      </c>
      <c r="R232" s="90">
        <v>0</v>
      </c>
      <c r="S232" s="78">
        <v>0</v>
      </c>
      <c r="T232" s="77">
        <v>400</v>
      </c>
      <c r="U232" s="80">
        <f>D232*T232/1000</f>
        <v>32</v>
      </c>
    </row>
    <row r="233" spans="1:21" x14ac:dyDescent="0.2">
      <c r="A233" s="1"/>
      <c r="B233" s="95" t="s">
        <v>25</v>
      </c>
      <c r="C233" s="101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90"/>
      <c r="S233" s="78"/>
      <c r="T233" s="77"/>
      <c r="U233" s="81">
        <f>SUM(U222:U232)</f>
        <v>66.432062000000002</v>
      </c>
    </row>
    <row r="234" spans="1:21" ht="14.25" customHeight="1" x14ac:dyDescent="0.2">
      <c r="A234" s="7" t="s">
        <v>124</v>
      </c>
      <c r="B234" s="76" t="s">
        <v>125</v>
      </c>
      <c r="C234" s="4">
        <v>200</v>
      </c>
      <c r="D234" s="4"/>
      <c r="E234" s="4"/>
      <c r="F234" s="47">
        <f>F235+F236+F237+F238</f>
        <v>3.55</v>
      </c>
      <c r="G234" s="47">
        <f t="shared" ref="G234:S234" si="37">G235+G236+G237+G238</f>
        <v>3.3800000000000003</v>
      </c>
      <c r="H234" s="47">
        <f t="shared" si="37"/>
        <v>25.01</v>
      </c>
      <c r="I234" s="47">
        <f t="shared" si="37"/>
        <v>139.73500000000001</v>
      </c>
      <c r="J234" s="47">
        <f t="shared" si="37"/>
        <v>146.6</v>
      </c>
      <c r="K234" s="47">
        <f t="shared" si="37"/>
        <v>125.4</v>
      </c>
      <c r="L234" s="47">
        <f t="shared" si="37"/>
        <v>14</v>
      </c>
      <c r="M234" s="47">
        <f t="shared" si="37"/>
        <v>102.5</v>
      </c>
      <c r="N234" s="47">
        <f t="shared" si="37"/>
        <v>0.40500000000000003</v>
      </c>
      <c r="O234" s="47">
        <f t="shared" si="37"/>
        <v>0.02</v>
      </c>
      <c r="P234" s="47">
        <f t="shared" si="37"/>
        <v>0.04</v>
      </c>
      <c r="Q234" s="47">
        <f t="shared" si="37"/>
        <v>0.2</v>
      </c>
      <c r="R234" s="47">
        <f t="shared" si="37"/>
        <v>1.3</v>
      </c>
      <c r="S234" s="47">
        <f t="shared" si="37"/>
        <v>1.3</v>
      </c>
      <c r="T234" s="77"/>
      <c r="U234" s="78"/>
    </row>
    <row r="235" spans="1:21" x14ac:dyDescent="0.2">
      <c r="A235" s="8"/>
      <c r="B235" s="79" t="s">
        <v>126</v>
      </c>
      <c r="C235" s="79"/>
      <c r="D235" s="79">
        <v>5</v>
      </c>
      <c r="E235" s="79">
        <v>5</v>
      </c>
      <c r="F235" s="79">
        <f>15*E235/100</f>
        <v>0.75</v>
      </c>
      <c r="G235" s="79">
        <f>3.6*E235/100</f>
        <v>0.18</v>
      </c>
      <c r="H235" s="79">
        <f>7*E235/100</f>
        <v>0.35</v>
      </c>
      <c r="I235" s="79">
        <f>118.7*E235/100</f>
        <v>5.9349999999999996</v>
      </c>
      <c r="J235" s="79">
        <v>0</v>
      </c>
      <c r="K235" s="79">
        <f>100*E235/100</f>
        <v>5</v>
      </c>
      <c r="L235" s="79">
        <v>0</v>
      </c>
      <c r="M235" s="79">
        <f>250*E235/100</f>
        <v>12.5</v>
      </c>
      <c r="N235" s="79">
        <f>6.1*E235/100</f>
        <v>0.30499999999999999</v>
      </c>
      <c r="O235" s="79">
        <v>0</v>
      </c>
      <c r="P235" s="79">
        <v>0</v>
      </c>
      <c r="Q235" s="79">
        <f>1*E235/100</f>
        <v>0.05</v>
      </c>
      <c r="R235" s="79">
        <f>24*E235/100</f>
        <v>1.2</v>
      </c>
      <c r="S235" s="79">
        <v>0</v>
      </c>
      <c r="T235" s="77">
        <v>500</v>
      </c>
      <c r="U235" s="80">
        <f>D235*T235/1000</f>
        <v>2.5</v>
      </c>
    </row>
    <row r="236" spans="1:21" x14ac:dyDescent="0.2">
      <c r="A236" s="9"/>
      <c r="B236" s="79" t="s">
        <v>20</v>
      </c>
      <c r="C236" s="79"/>
      <c r="D236" s="79">
        <v>120</v>
      </c>
      <c r="E236" s="79">
        <v>120</v>
      </c>
      <c r="F236" s="79">
        <v>0</v>
      </c>
      <c r="G236" s="79">
        <v>0</v>
      </c>
      <c r="H236" s="79">
        <v>0</v>
      </c>
      <c r="I236" s="79">
        <v>0</v>
      </c>
      <c r="J236" s="79">
        <v>0</v>
      </c>
      <c r="K236" s="79">
        <v>0</v>
      </c>
      <c r="L236" s="79">
        <v>0</v>
      </c>
      <c r="M236" s="79">
        <v>0</v>
      </c>
      <c r="N236" s="79">
        <v>0</v>
      </c>
      <c r="O236" s="79">
        <v>0</v>
      </c>
      <c r="P236" s="79">
        <v>0</v>
      </c>
      <c r="Q236" s="79">
        <v>0</v>
      </c>
      <c r="R236" s="79">
        <v>0</v>
      </c>
      <c r="S236" s="79">
        <v>0</v>
      </c>
      <c r="T236" s="77">
        <v>0</v>
      </c>
      <c r="U236" s="80">
        <f>D236*T236/1000</f>
        <v>0</v>
      </c>
    </row>
    <row r="237" spans="1:21" x14ac:dyDescent="0.2">
      <c r="A237" s="9"/>
      <c r="B237" s="79" t="s">
        <v>15</v>
      </c>
      <c r="C237" s="79"/>
      <c r="D237" s="79">
        <v>20</v>
      </c>
      <c r="E237" s="79">
        <v>20</v>
      </c>
      <c r="F237" s="79">
        <v>0</v>
      </c>
      <c r="G237" s="79">
        <v>0</v>
      </c>
      <c r="H237" s="79">
        <f>99.8*E237/100</f>
        <v>19.96</v>
      </c>
      <c r="I237" s="79">
        <f>379*E237/100</f>
        <v>75.8</v>
      </c>
      <c r="J237" s="79">
        <f>3*E237/100</f>
        <v>0.6</v>
      </c>
      <c r="K237" s="79">
        <f>2*E237/100</f>
        <v>0.4</v>
      </c>
      <c r="L237" s="79">
        <v>0</v>
      </c>
      <c r="M237" s="79">
        <v>0</v>
      </c>
      <c r="N237" s="79">
        <v>0</v>
      </c>
      <c r="O237" s="79">
        <v>0</v>
      </c>
      <c r="P237" s="79">
        <v>0</v>
      </c>
      <c r="Q237" s="79">
        <v>0</v>
      </c>
      <c r="R237" s="79">
        <v>0</v>
      </c>
      <c r="S237" s="79">
        <v>0</v>
      </c>
      <c r="T237" s="77">
        <v>75.28</v>
      </c>
      <c r="U237" s="80">
        <f>D237*T237/1000</f>
        <v>1.5055999999999998</v>
      </c>
    </row>
    <row r="238" spans="1:21" x14ac:dyDescent="0.2">
      <c r="A238" s="9"/>
      <c r="B238" s="79" t="s">
        <v>14</v>
      </c>
      <c r="C238" s="79"/>
      <c r="D238" s="79">
        <v>100</v>
      </c>
      <c r="E238" s="79">
        <v>100</v>
      </c>
      <c r="F238" s="79">
        <f>2.8*E238/100</f>
        <v>2.8</v>
      </c>
      <c r="G238" s="79">
        <f>3.2*E238/100</f>
        <v>3.2</v>
      </c>
      <c r="H238" s="79">
        <f>4.7*E238/100</f>
        <v>4.7</v>
      </c>
      <c r="I238" s="79">
        <f>58*E238/100</f>
        <v>58</v>
      </c>
      <c r="J238" s="79">
        <f>146*E238/100</f>
        <v>146</v>
      </c>
      <c r="K238" s="79">
        <f>120*E238/100</f>
        <v>120</v>
      </c>
      <c r="L238" s="79">
        <f>14*E238/100</f>
        <v>14</v>
      </c>
      <c r="M238" s="79">
        <f>90*E238/100</f>
        <v>90</v>
      </c>
      <c r="N238" s="79">
        <f>0.1*E238/100</f>
        <v>0.1</v>
      </c>
      <c r="O238" s="79">
        <f>0.02*E238/100</f>
        <v>0.02</v>
      </c>
      <c r="P238" s="79">
        <f>0.04*E238/100</f>
        <v>0.04</v>
      </c>
      <c r="Q238" s="79">
        <f>0.15*E238/100</f>
        <v>0.15</v>
      </c>
      <c r="R238" s="79">
        <f>0.1*E238/100</f>
        <v>0.1</v>
      </c>
      <c r="S238" s="79">
        <f>1.3*E238/100</f>
        <v>1.3</v>
      </c>
      <c r="T238" s="77">
        <v>79.64</v>
      </c>
      <c r="U238" s="80">
        <f>D238*T238/1000</f>
        <v>7.9640000000000004</v>
      </c>
    </row>
    <row r="239" spans="1:21" x14ac:dyDescent="0.2">
      <c r="A239" s="6"/>
      <c r="B239" s="28" t="s">
        <v>25</v>
      </c>
      <c r="C239" s="17"/>
      <c r="D239" s="17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21"/>
      <c r="S239" s="16"/>
      <c r="T239" s="77"/>
      <c r="U239" s="130">
        <f>SUM(U235:U238)</f>
        <v>11.9696</v>
      </c>
    </row>
    <row r="240" spans="1:21" ht="25.5" x14ac:dyDescent="0.2">
      <c r="A240" s="74" t="s">
        <v>106</v>
      </c>
      <c r="B240" s="72" t="s">
        <v>107</v>
      </c>
      <c r="C240" s="4">
        <v>50</v>
      </c>
      <c r="D240" s="16"/>
      <c r="E240" s="4"/>
      <c r="F240" s="4">
        <v>5.76</v>
      </c>
      <c r="G240" s="4">
        <v>8.85</v>
      </c>
      <c r="H240" s="4">
        <v>14.9</v>
      </c>
      <c r="I240" s="4">
        <v>165.7</v>
      </c>
      <c r="J240" s="4">
        <f t="shared" ref="J240:S240" si="38">J241+J242+J243</f>
        <v>58.75</v>
      </c>
      <c r="K240" s="4">
        <f t="shared" si="38"/>
        <v>164.9</v>
      </c>
      <c r="L240" s="4">
        <f t="shared" si="38"/>
        <v>10.65</v>
      </c>
      <c r="M240" s="4">
        <f t="shared" si="38"/>
        <v>107.44999999999999</v>
      </c>
      <c r="N240" s="4">
        <f t="shared" si="38"/>
        <v>0.49</v>
      </c>
      <c r="O240" s="4">
        <f t="shared" si="38"/>
        <v>5.6500000000000002E-2</v>
      </c>
      <c r="P240" s="4">
        <f t="shared" si="38"/>
        <v>0</v>
      </c>
      <c r="Q240" s="4">
        <f t="shared" si="38"/>
        <v>5.7000000000000002E-2</v>
      </c>
      <c r="R240" s="21">
        <f t="shared" si="38"/>
        <v>0.52200000000000002</v>
      </c>
      <c r="S240" s="4">
        <f t="shared" si="38"/>
        <v>0.42</v>
      </c>
      <c r="T240" s="16"/>
      <c r="U240" s="24"/>
    </row>
    <row r="241" spans="1:21" x14ac:dyDescent="0.2">
      <c r="A241" s="4"/>
      <c r="B241" s="27" t="s">
        <v>108</v>
      </c>
      <c r="C241" s="16"/>
      <c r="D241" s="16">
        <v>16</v>
      </c>
      <c r="E241" s="16">
        <v>15</v>
      </c>
      <c r="F241" s="16">
        <f>23*E241/100</f>
        <v>3.45</v>
      </c>
      <c r="G241" s="16">
        <f>29*E241/100</f>
        <v>4.3499999999999996</v>
      </c>
      <c r="H241" s="16">
        <v>0</v>
      </c>
      <c r="I241" s="16">
        <f>360*E241/100</f>
        <v>54</v>
      </c>
      <c r="J241" s="25">
        <f>130*E241/100</f>
        <v>19.5</v>
      </c>
      <c r="K241" s="16">
        <f>1040*E241/100</f>
        <v>156</v>
      </c>
      <c r="L241" s="16">
        <v>0</v>
      </c>
      <c r="M241" s="16">
        <f>544*E241/100</f>
        <v>81.599999999999994</v>
      </c>
      <c r="N241" s="16">
        <v>0</v>
      </c>
      <c r="O241" s="16">
        <f>0.21*E241/100</f>
        <v>3.15E-2</v>
      </c>
      <c r="P241" s="16">
        <v>0</v>
      </c>
      <c r="Q241" s="16">
        <f>0.38*E241/100</f>
        <v>5.7000000000000002E-2</v>
      </c>
      <c r="R241" s="18">
        <f>0.4*E241/100</f>
        <v>0.06</v>
      </c>
      <c r="S241" s="16">
        <f>2.8*E241/100</f>
        <v>0.42</v>
      </c>
      <c r="T241" s="16">
        <v>740</v>
      </c>
      <c r="U241" s="24">
        <f>D241*T241/1000</f>
        <v>11.84</v>
      </c>
    </row>
    <row r="242" spans="1:21" x14ac:dyDescent="0.2">
      <c r="A242" s="4"/>
      <c r="B242" s="43" t="s">
        <v>22</v>
      </c>
      <c r="C242" s="22"/>
      <c r="D242" s="16">
        <v>5</v>
      </c>
      <c r="E242" s="16">
        <v>5</v>
      </c>
      <c r="F242" s="16">
        <f>0.8*D242/100</f>
        <v>0.04</v>
      </c>
      <c r="G242" s="16">
        <f>72.5*D242/100</f>
        <v>3.625</v>
      </c>
      <c r="H242" s="16">
        <f>1.3*D242/100</f>
        <v>6.5000000000000002E-2</v>
      </c>
      <c r="I242" s="16">
        <f>661*D242/100</f>
        <v>33.049999999999997</v>
      </c>
      <c r="J242" s="26">
        <f>23*D242/100</f>
        <v>1.1499999999999999</v>
      </c>
      <c r="K242" s="16">
        <f>22*D242/100</f>
        <v>1.1000000000000001</v>
      </c>
      <c r="L242" s="26">
        <f>3*D242/100</f>
        <v>0.15</v>
      </c>
      <c r="M242" s="16">
        <f>19*E242/100</f>
        <v>0.95</v>
      </c>
      <c r="N242" s="16">
        <f>0.2*E242/100</f>
        <v>0.01</v>
      </c>
      <c r="O242" s="16">
        <f>0.5*E242/100</f>
        <v>2.5000000000000001E-2</v>
      </c>
      <c r="P242" s="16">
        <v>0</v>
      </c>
      <c r="Q242" s="16">
        <v>0</v>
      </c>
      <c r="R242" s="18">
        <v>0</v>
      </c>
      <c r="S242" s="16">
        <v>0</v>
      </c>
      <c r="T242" s="16">
        <v>800</v>
      </c>
      <c r="U242" s="24">
        <f>D242*T242/1000</f>
        <v>4</v>
      </c>
    </row>
    <row r="243" spans="1:21" x14ac:dyDescent="0.2">
      <c r="A243" s="4"/>
      <c r="B243" s="27" t="s">
        <v>109</v>
      </c>
      <c r="C243" s="16"/>
      <c r="D243" s="16">
        <v>30</v>
      </c>
      <c r="E243" s="16">
        <v>30</v>
      </c>
      <c r="F243" s="16">
        <f>7.7*E243/100</f>
        <v>2.31</v>
      </c>
      <c r="G243" s="16">
        <f>3*E243/100</f>
        <v>0.9</v>
      </c>
      <c r="H243" s="16">
        <f>49.8*E243/100</f>
        <v>14.94</v>
      </c>
      <c r="I243" s="16">
        <f>262*E243/100</f>
        <v>78.599999999999994</v>
      </c>
      <c r="J243" s="16">
        <f>127*E243/100</f>
        <v>38.1</v>
      </c>
      <c r="K243" s="16">
        <f>26*E243/100</f>
        <v>7.8</v>
      </c>
      <c r="L243" s="16">
        <f>35*E243/100</f>
        <v>10.5</v>
      </c>
      <c r="M243" s="16">
        <f>83*E243/100</f>
        <v>24.9</v>
      </c>
      <c r="N243" s="16">
        <f>1.6*E243/100</f>
        <v>0.48</v>
      </c>
      <c r="O243" s="16">
        <v>0</v>
      </c>
      <c r="P243" s="16">
        <v>0</v>
      </c>
      <c r="Q243" s="16">
        <v>0</v>
      </c>
      <c r="R243" s="18">
        <f>1.54*E243/100</f>
        <v>0.46200000000000002</v>
      </c>
      <c r="S243" s="16">
        <v>0</v>
      </c>
      <c r="T243" s="16">
        <v>50</v>
      </c>
      <c r="U243" s="24">
        <f>D243*T243/1000</f>
        <v>1.5</v>
      </c>
    </row>
    <row r="244" spans="1:21" x14ac:dyDescent="0.2">
      <c r="A244" s="71"/>
      <c r="B244" s="28" t="s">
        <v>25</v>
      </c>
      <c r="C244" s="28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61"/>
      <c r="P244" s="16"/>
      <c r="Q244" s="16"/>
      <c r="R244" s="18"/>
      <c r="S244" s="16"/>
      <c r="T244" s="16"/>
      <c r="U244" s="32">
        <f>SUM(U241:U243)</f>
        <v>17.34</v>
      </c>
    </row>
    <row r="245" spans="1:21" x14ac:dyDescent="0.2">
      <c r="A245" s="71" t="s">
        <v>11</v>
      </c>
      <c r="B245" s="19" t="s">
        <v>1</v>
      </c>
      <c r="C245" s="19">
        <v>20</v>
      </c>
      <c r="D245" s="16">
        <v>20</v>
      </c>
      <c r="E245" s="16">
        <v>20</v>
      </c>
      <c r="F245" s="4">
        <f>7.7*E245/100</f>
        <v>1.54</v>
      </c>
      <c r="G245" s="4">
        <v>1.6</v>
      </c>
      <c r="H245" s="4">
        <f>49.8*E245/100</f>
        <v>9.9600000000000009</v>
      </c>
      <c r="I245" s="4">
        <f>262*E245/100</f>
        <v>52.4</v>
      </c>
      <c r="J245" s="4">
        <f>127*E245/100</f>
        <v>25.4</v>
      </c>
      <c r="K245" s="4">
        <f>26*E245/100</f>
        <v>5.2</v>
      </c>
      <c r="L245" s="4">
        <f>35*E245/100</f>
        <v>7</v>
      </c>
      <c r="M245" s="4">
        <f>83*E245/100</f>
        <v>16.600000000000001</v>
      </c>
      <c r="N245" s="4">
        <f>1.6*E245/100</f>
        <v>0.32</v>
      </c>
      <c r="O245" s="64">
        <v>0</v>
      </c>
      <c r="P245" s="4">
        <f>0.16*E245/100</f>
        <v>3.2000000000000001E-2</v>
      </c>
      <c r="Q245" s="4">
        <f>0.08*E245/100</f>
        <v>1.6E-2</v>
      </c>
      <c r="R245" s="21">
        <f>1.54*E245/100</f>
        <v>0.308</v>
      </c>
      <c r="S245" s="4">
        <v>0</v>
      </c>
      <c r="T245" s="16">
        <v>50</v>
      </c>
      <c r="U245" s="24">
        <f>E245*T245/1000</f>
        <v>1</v>
      </c>
    </row>
    <row r="246" spans="1:21" x14ac:dyDescent="0.2">
      <c r="A246" s="4" t="s">
        <v>98</v>
      </c>
      <c r="B246" s="19" t="s">
        <v>99</v>
      </c>
      <c r="C246" s="19">
        <v>50</v>
      </c>
      <c r="D246" s="16">
        <v>50</v>
      </c>
      <c r="E246" s="16">
        <v>50</v>
      </c>
      <c r="F246" s="4">
        <f>6.6*E246/100</f>
        <v>3.3</v>
      </c>
      <c r="G246" s="4">
        <f>1.2*E246/100</f>
        <v>0.6</v>
      </c>
      <c r="H246" s="4">
        <f>34.2*E246/100</f>
        <v>17.100000000000001</v>
      </c>
      <c r="I246" s="4">
        <f>181*E246/100</f>
        <v>90.5</v>
      </c>
      <c r="J246" s="4">
        <f>94*E246/100</f>
        <v>47</v>
      </c>
      <c r="K246" s="4">
        <f>34*E246/100</f>
        <v>17</v>
      </c>
      <c r="L246" s="4">
        <f>41*E246/100</f>
        <v>20.5</v>
      </c>
      <c r="M246" s="4">
        <f>120*E246/100</f>
        <v>60</v>
      </c>
      <c r="N246" s="4">
        <f>2.3*E246/100</f>
        <v>1.1499999999999999</v>
      </c>
      <c r="O246" s="64">
        <v>0</v>
      </c>
      <c r="P246" s="4">
        <v>0</v>
      </c>
      <c r="Q246" s="4">
        <v>0</v>
      </c>
      <c r="R246" s="21">
        <v>0</v>
      </c>
      <c r="S246" s="4">
        <v>0</v>
      </c>
      <c r="T246" s="16">
        <v>60</v>
      </c>
      <c r="U246" s="24">
        <f>E246*T246/1000</f>
        <v>3</v>
      </c>
    </row>
    <row r="247" spans="1:21" x14ac:dyDescent="0.2">
      <c r="A247" s="6" t="s">
        <v>11</v>
      </c>
      <c r="B247" s="19" t="s">
        <v>101</v>
      </c>
      <c r="C247" s="19">
        <v>125</v>
      </c>
      <c r="D247" s="16" t="s">
        <v>26</v>
      </c>
      <c r="E247" s="16">
        <v>125</v>
      </c>
      <c r="F247" s="4">
        <f>5*E247/100</f>
        <v>6.25</v>
      </c>
      <c r="G247" s="4">
        <f>3.2*E247/100</f>
        <v>4</v>
      </c>
      <c r="H247" s="4">
        <f>3.5*E247/100</f>
        <v>4.375</v>
      </c>
      <c r="I247" s="4">
        <f>68*E247/100</f>
        <v>85</v>
      </c>
      <c r="J247" s="4">
        <f>147*E247/100</f>
        <v>183.75</v>
      </c>
      <c r="K247" s="4">
        <f>122*E247/100</f>
        <v>152.5</v>
      </c>
      <c r="L247" s="4">
        <f>15*E247/100</f>
        <v>18.75</v>
      </c>
      <c r="M247" s="4">
        <f>96*E247/100</f>
        <v>120</v>
      </c>
      <c r="N247" s="4">
        <f>0.1*E247/100</f>
        <v>0.125</v>
      </c>
      <c r="O247" s="64">
        <f>0.02*E247/100</f>
        <v>2.5000000000000001E-2</v>
      </c>
      <c r="P247" s="4">
        <f>0.04*E247/100</f>
        <v>0.05</v>
      </c>
      <c r="Q247" s="4">
        <f>0.2*E247/100</f>
        <v>0.25</v>
      </c>
      <c r="R247" s="21">
        <f>0.2*E247/100</f>
        <v>0.25</v>
      </c>
      <c r="S247" s="4">
        <f>0.6*E247/100</f>
        <v>0.75</v>
      </c>
      <c r="T247" s="16">
        <v>236</v>
      </c>
      <c r="U247" s="32">
        <f>E247*T247/1000</f>
        <v>29.5</v>
      </c>
    </row>
    <row r="248" spans="1:21" x14ac:dyDescent="0.2">
      <c r="A248" s="6"/>
      <c r="B248" s="4" t="s">
        <v>12</v>
      </c>
      <c r="C248" s="83">
        <f>C221+C234+C240+C245+C246+C247</f>
        <v>645</v>
      </c>
      <c r="D248" s="16"/>
      <c r="E248" s="16"/>
      <c r="F248" s="83">
        <f t="shared" ref="F248:S248" si="39">F221+F234+F240+F245+F246+F247</f>
        <v>39.661399999999993</v>
      </c>
      <c r="G248" s="83">
        <f t="shared" si="39"/>
        <v>35.254400000000004</v>
      </c>
      <c r="H248" s="83">
        <f t="shared" si="39"/>
        <v>143.51939999999999</v>
      </c>
      <c r="I248" s="83">
        <f t="shared" si="39"/>
        <v>1050.808</v>
      </c>
      <c r="J248" s="83">
        <f t="shared" si="39"/>
        <v>940.22799999999995</v>
      </c>
      <c r="K248" s="83">
        <f t="shared" si="39"/>
        <v>866.74400000000003</v>
      </c>
      <c r="L248" s="83">
        <f t="shared" si="39"/>
        <v>129.08199999999999</v>
      </c>
      <c r="M248" s="83">
        <f t="shared" si="39"/>
        <v>786.19799999999998</v>
      </c>
      <c r="N248" s="83">
        <f t="shared" si="39"/>
        <v>3.2635999999999998</v>
      </c>
      <c r="O248" s="83">
        <f t="shared" si="39"/>
        <v>0.10150000000000001</v>
      </c>
      <c r="P248" s="83">
        <f t="shared" si="39"/>
        <v>0.12200000000000001</v>
      </c>
      <c r="Q248" s="83">
        <f t="shared" si="39"/>
        <v>0.52300000000000002</v>
      </c>
      <c r="R248" s="83">
        <f t="shared" si="39"/>
        <v>2.6699199999999998</v>
      </c>
      <c r="S248" s="83">
        <f t="shared" si="39"/>
        <v>3.8308</v>
      </c>
      <c r="T248" s="16"/>
      <c r="U248" s="33">
        <f>U233+U239+U244+U245+U246+U247</f>
        <v>129.24166200000002</v>
      </c>
    </row>
    <row r="249" spans="1:21" x14ac:dyDescent="0.2">
      <c r="A249" s="6"/>
      <c r="B249" s="4"/>
      <c r="C249" s="16"/>
      <c r="D249" s="16"/>
      <c r="E249" s="16"/>
      <c r="F249" s="47"/>
      <c r="G249" s="47"/>
      <c r="H249" s="47"/>
      <c r="I249" s="47"/>
      <c r="J249" s="47"/>
      <c r="K249" s="47"/>
      <c r="L249" s="47"/>
      <c r="M249" s="47"/>
      <c r="N249" s="47"/>
      <c r="O249" s="65"/>
      <c r="P249" s="47"/>
      <c r="Q249" s="47"/>
      <c r="R249" s="48"/>
      <c r="S249" s="47"/>
      <c r="T249" s="16"/>
      <c r="U249" s="33"/>
    </row>
    <row r="250" spans="1:21" x14ac:dyDescent="0.2">
      <c r="A250" s="6"/>
      <c r="B250" s="17" t="s">
        <v>84</v>
      </c>
      <c r="C250" s="17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61"/>
      <c r="P250" s="16"/>
      <c r="Q250" s="16"/>
      <c r="R250" s="18"/>
      <c r="S250" s="16"/>
      <c r="T250" s="16"/>
      <c r="U250" s="16"/>
    </row>
    <row r="251" spans="1:21" x14ac:dyDescent="0.2">
      <c r="A251" s="6"/>
      <c r="B251" s="17" t="s">
        <v>0</v>
      </c>
      <c r="C251" s="17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61"/>
      <c r="P251" s="16"/>
      <c r="Q251" s="16"/>
      <c r="R251" s="18"/>
      <c r="S251" s="16"/>
      <c r="T251" s="16"/>
      <c r="U251" s="16"/>
    </row>
    <row r="252" spans="1:21" ht="25.5" x14ac:dyDescent="0.2">
      <c r="A252" s="1" t="s">
        <v>138</v>
      </c>
      <c r="B252" s="76" t="s">
        <v>139</v>
      </c>
      <c r="C252" s="102">
        <v>140</v>
      </c>
      <c r="D252" s="78"/>
      <c r="E252" s="86"/>
      <c r="F252" s="86">
        <f t="shared" ref="F252:S252" si="40">F253+F254+F255+F256+F257+F258+F259+F262+F263+F264+F265+F266</f>
        <v>12.935499999999999</v>
      </c>
      <c r="G252" s="86">
        <f t="shared" si="40"/>
        <v>15.37</v>
      </c>
      <c r="H252" s="86">
        <f t="shared" si="40"/>
        <v>13.458</v>
      </c>
      <c r="I252" s="86">
        <f t="shared" si="40"/>
        <v>247.24800000000002</v>
      </c>
      <c r="J252" s="86">
        <f t="shared" si="40"/>
        <v>288.29500000000002</v>
      </c>
      <c r="K252" s="86">
        <f t="shared" si="40"/>
        <v>38.26</v>
      </c>
      <c r="L252" s="86">
        <f t="shared" si="40"/>
        <v>21.82</v>
      </c>
      <c r="M252" s="86">
        <f t="shared" si="40"/>
        <v>107.49</v>
      </c>
      <c r="N252" s="86">
        <f t="shared" si="40"/>
        <v>1.2049999999999998</v>
      </c>
      <c r="O252" s="86">
        <f t="shared" si="40"/>
        <v>2.2249999999999999E-2</v>
      </c>
      <c r="P252" s="86">
        <f t="shared" si="40"/>
        <v>1.8450000000000001E-2</v>
      </c>
      <c r="Q252" s="86">
        <f t="shared" si="40"/>
        <v>9.2649999999999996E-2</v>
      </c>
      <c r="R252" s="86">
        <f t="shared" si="40"/>
        <v>2.0314999999999999</v>
      </c>
      <c r="S252" s="86">
        <f t="shared" si="40"/>
        <v>3.7345000000000002</v>
      </c>
      <c r="T252" s="77"/>
      <c r="U252" s="78"/>
    </row>
    <row r="253" spans="1:21" x14ac:dyDescent="0.2">
      <c r="A253" s="1"/>
      <c r="B253" s="120" t="s">
        <v>140</v>
      </c>
      <c r="C253" s="116"/>
      <c r="D253" s="79">
        <v>57</v>
      </c>
      <c r="E253" s="79">
        <v>57</v>
      </c>
      <c r="F253" s="79">
        <f>18.6*E253/100</f>
        <v>10.602</v>
      </c>
      <c r="G253" s="79">
        <f>16*E253/100</f>
        <v>9.1199999999999992</v>
      </c>
      <c r="H253" s="79">
        <v>0</v>
      </c>
      <c r="I253" s="79">
        <f>218.4*E253/100</f>
        <v>124.48800000000001</v>
      </c>
      <c r="J253" s="79">
        <f>325*E253/100</f>
        <v>185.25</v>
      </c>
      <c r="K253" s="79">
        <f>9*E253/100</f>
        <v>5.13</v>
      </c>
      <c r="L253" s="79">
        <f>22*E253/100</f>
        <v>12.54</v>
      </c>
      <c r="M253" s="79">
        <v>71.44</v>
      </c>
      <c r="N253" s="79">
        <v>1.03</v>
      </c>
      <c r="O253" s="79">
        <v>0</v>
      </c>
      <c r="P253" s="79">
        <v>0</v>
      </c>
      <c r="Q253" s="79">
        <v>0.08</v>
      </c>
      <c r="R253" s="117">
        <v>1.78</v>
      </c>
      <c r="S253" s="91">
        <v>0</v>
      </c>
      <c r="T253" s="77">
        <v>680</v>
      </c>
      <c r="U253" s="80">
        <f>D253*T253/1000</f>
        <v>38.76</v>
      </c>
    </row>
    <row r="254" spans="1:21" x14ac:dyDescent="0.2">
      <c r="A254" s="1"/>
      <c r="B254" s="120" t="s">
        <v>141</v>
      </c>
      <c r="C254" s="116"/>
      <c r="D254" s="79">
        <v>9</v>
      </c>
      <c r="E254" s="79">
        <v>9</v>
      </c>
      <c r="F254" s="79">
        <v>0</v>
      </c>
      <c r="G254" s="79">
        <v>0</v>
      </c>
      <c r="H254" s="79">
        <v>0</v>
      </c>
      <c r="I254" s="79">
        <v>0</v>
      </c>
      <c r="J254" s="79">
        <v>0</v>
      </c>
      <c r="K254" s="79">
        <v>0</v>
      </c>
      <c r="L254" s="79">
        <v>0</v>
      </c>
      <c r="M254" s="79">
        <v>0</v>
      </c>
      <c r="N254" s="79">
        <v>0</v>
      </c>
      <c r="O254" s="79">
        <v>0</v>
      </c>
      <c r="P254" s="79">
        <v>0</v>
      </c>
      <c r="Q254" s="79">
        <v>0</v>
      </c>
      <c r="R254" s="117">
        <v>0</v>
      </c>
      <c r="S254" s="91">
        <v>0</v>
      </c>
      <c r="T254" s="77">
        <v>0</v>
      </c>
      <c r="U254" s="80">
        <f t="shared" ref="U254:U260" si="41">D254*T254/1000</f>
        <v>0</v>
      </c>
    </row>
    <row r="255" spans="1:21" x14ac:dyDescent="0.2">
      <c r="A255" s="1"/>
      <c r="B255" s="120" t="s">
        <v>132</v>
      </c>
      <c r="C255" s="101"/>
      <c r="D255" s="79">
        <v>7.5</v>
      </c>
      <c r="E255" s="79">
        <v>7.5</v>
      </c>
      <c r="F255" s="91">
        <v>0.7</v>
      </c>
      <c r="G255" s="91">
        <v>0.8</v>
      </c>
      <c r="H255" s="91">
        <v>4.5</v>
      </c>
      <c r="I255" s="91">
        <v>23.6</v>
      </c>
      <c r="J255" s="92">
        <v>11.45</v>
      </c>
      <c r="K255" s="91">
        <v>2.35</v>
      </c>
      <c r="L255" s="91">
        <v>3.15</v>
      </c>
      <c r="M255" s="92">
        <v>7.5</v>
      </c>
      <c r="N255" s="91">
        <v>0.15</v>
      </c>
      <c r="O255" s="91">
        <v>0</v>
      </c>
      <c r="P255" s="91">
        <v>1.4999999999999999E-2</v>
      </c>
      <c r="Q255" s="91">
        <v>0</v>
      </c>
      <c r="R255" s="93">
        <v>0.14000000000000001</v>
      </c>
      <c r="S255" s="91">
        <v>0</v>
      </c>
      <c r="T255" s="77">
        <v>110</v>
      </c>
      <c r="U255" s="80">
        <f t="shared" si="41"/>
        <v>0.82499999999999996</v>
      </c>
    </row>
    <row r="256" spans="1:21" x14ac:dyDescent="0.2">
      <c r="A256" s="1"/>
      <c r="B256" s="131" t="s">
        <v>18</v>
      </c>
      <c r="C256" s="102"/>
      <c r="D256" s="79">
        <v>31.5</v>
      </c>
      <c r="E256" s="79">
        <v>27</v>
      </c>
      <c r="F256" s="78">
        <f>1.4*E256/100</f>
        <v>0.37799999999999995</v>
      </c>
      <c r="G256" s="78">
        <v>0</v>
      </c>
      <c r="H256" s="78">
        <f>8.2*E256/100</f>
        <v>2.214</v>
      </c>
      <c r="I256" s="78">
        <f>41*E256/100</f>
        <v>11.07</v>
      </c>
      <c r="J256" s="78">
        <f>175*E256/100</f>
        <v>47.25</v>
      </c>
      <c r="K256" s="78">
        <f>31*E256/100</f>
        <v>8.3699999999999992</v>
      </c>
      <c r="L256" s="78">
        <f>14*E256/100</f>
        <v>3.78</v>
      </c>
      <c r="M256" s="78">
        <f>58*E256/100</f>
        <v>15.66</v>
      </c>
      <c r="N256" s="78">
        <v>0</v>
      </c>
      <c r="O256" s="78">
        <v>0</v>
      </c>
      <c r="P256" s="78">
        <v>0</v>
      </c>
      <c r="Q256" s="78">
        <v>0</v>
      </c>
      <c r="R256" s="90">
        <v>0</v>
      </c>
      <c r="S256" s="78">
        <f>10*E256/100</f>
        <v>2.7</v>
      </c>
      <c r="T256" s="77">
        <v>35</v>
      </c>
      <c r="U256" s="80">
        <f t="shared" si="41"/>
        <v>1.1025</v>
      </c>
    </row>
    <row r="257" spans="1:21" x14ac:dyDescent="0.2">
      <c r="A257" s="1"/>
      <c r="B257" s="131" t="s">
        <v>19</v>
      </c>
      <c r="C257" s="78"/>
      <c r="D257" s="79">
        <v>9</v>
      </c>
      <c r="E257" s="79">
        <v>9</v>
      </c>
      <c r="F257" s="79">
        <v>0</v>
      </c>
      <c r="G257" s="79">
        <v>3</v>
      </c>
      <c r="H257" s="79">
        <v>0</v>
      </c>
      <c r="I257" s="79">
        <v>26.97</v>
      </c>
      <c r="J257" s="79">
        <v>0</v>
      </c>
      <c r="K257" s="79">
        <v>0</v>
      </c>
      <c r="L257" s="79">
        <v>0</v>
      </c>
      <c r="M257" s="79">
        <v>0</v>
      </c>
      <c r="N257" s="79">
        <v>0</v>
      </c>
      <c r="O257" s="79">
        <v>0</v>
      </c>
      <c r="P257" s="79">
        <v>0</v>
      </c>
      <c r="Q257" s="79">
        <v>0</v>
      </c>
      <c r="R257" s="117">
        <v>0</v>
      </c>
      <c r="S257" s="91">
        <v>0</v>
      </c>
      <c r="T257" s="77">
        <v>136.76</v>
      </c>
      <c r="U257" s="80">
        <f t="shared" si="41"/>
        <v>1.2308399999999999</v>
      </c>
    </row>
    <row r="258" spans="1:21" x14ac:dyDescent="0.2">
      <c r="A258" s="1"/>
      <c r="B258" s="131" t="s">
        <v>115</v>
      </c>
      <c r="C258" s="78"/>
      <c r="D258" s="79">
        <v>6</v>
      </c>
      <c r="E258" s="79">
        <v>6</v>
      </c>
      <c r="F258" s="79">
        <v>0.41</v>
      </c>
      <c r="G258" s="79">
        <v>0</v>
      </c>
      <c r="H258" s="79">
        <v>2.76</v>
      </c>
      <c r="I258" s="79">
        <v>13.36</v>
      </c>
      <c r="J258" s="79">
        <v>7.04</v>
      </c>
      <c r="K258" s="79">
        <v>4.5999999999999996</v>
      </c>
      <c r="L258" s="79">
        <v>0</v>
      </c>
      <c r="M258" s="79">
        <v>0</v>
      </c>
      <c r="N258" s="79">
        <v>0</v>
      </c>
      <c r="O258" s="79">
        <v>0</v>
      </c>
      <c r="P258" s="79">
        <v>0</v>
      </c>
      <c r="Q258" s="79">
        <v>0</v>
      </c>
      <c r="R258" s="117">
        <v>0.05</v>
      </c>
      <c r="S258" s="91">
        <v>0</v>
      </c>
      <c r="T258" s="77">
        <v>52.04</v>
      </c>
      <c r="U258" s="80">
        <f t="shared" si="41"/>
        <v>0.31224000000000002</v>
      </c>
    </row>
    <row r="259" spans="1:21" x14ac:dyDescent="0.2">
      <c r="A259" s="1"/>
      <c r="B259" s="131" t="s">
        <v>24</v>
      </c>
      <c r="C259" s="78"/>
      <c r="D259" s="79">
        <v>2</v>
      </c>
      <c r="E259" s="79">
        <v>2</v>
      </c>
      <c r="F259" s="79">
        <v>0</v>
      </c>
      <c r="G259" s="79">
        <v>0</v>
      </c>
      <c r="H259" s="79">
        <v>0</v>
      </c>
      <c r="I259" s="79">
        <v>0</v>
      </c>
      <c r="J259" s="79">
        <v>0</v>
      </c>
      <c r="K259" s="79">
        <v>0</v>
      </c>
      <c r="L259" s="79">
        <v>0</v>
      </c>
      <c r="M259" s="79">
        <v>0</v>
      </c>
      <c r="N259" s="79">
        <v>0</v>
      </c>
      <c r="O259" s="79">
        <v>0</v>
      </c>
      <c r="P259" s="79">
        <v>0</v>
      </c>
      <c r="Q259" s="79">
        <v>0</v>
      </c>
      <c r="R259" s="117">
        <v>0</v>
      </c>
      <c r="S259" s="91">
        <v>0</v>
      </c>
      <c r="T259" s="77">
        <v>20.87</v>
      </c>
      <c r="U259" s="80">
        <f t="shared" si="41"/>
        <v>4.1739999999999999E-2</v>
      </c>
    </row>
    <row r="260" spans="1:21" x14ac:dyDescent="0.2">
      <c r="A260" s="1" t="s">
        <v>142</v>
      </c>
      <c r="B260" s="103" t="s">
        <v>143</v>
      </c>
      <c r="C260" s="111">
        <v>50</v>
      </c>
      <c r="D260" s="122"/>
      <c r="E260" s="123"/>
      <c r="F260" s="112">
        <v>0.47</v>
      </c>
      <c r="G260" s="124">
        <v>1</v>
      </c>
      <c r="H260" s="124">
        <v>3.16</v>
      </c>
      <c r="I260" s="124">
        <v>24</v>
      </c>
      <c r="J260" s="125">
        <v>31.67</v>
      </c>
      <c r="K260" s="124">
        <v>2.3199999999999998</v>
      </c>
      <c r="L260" s="124">
        <v>3.74</v>
      </c>
      <c r="M260" s="125">
        <v>7.04</v>
      </c>
      <c r="N260" s="124">
        <v>0.1</v>
      </c>
      <c r="O260" s="124">
        <v>0</v>
      </c>
      <c r="P260" s="124">
        <v>0</v>
      </c>
      <c r="Q260" s="124">
        <v>0</v>
      </c>
      <c r="R260" s="126">
        <v>0.11</v>
      </c>
      <c r="S260" s="112">
        <v>1.2</v>
      </c>
      <c r="T260" s="77"/>
      <c r="U260" s="80">
        <f t="shared" si="41"/>
        <v>0</v>
      </c>
    </row>
    <row r="261" spans="1:21" x14ac:dyDescent="0.2">
      <c r="A261" s="1"/>
      <c r="B261" s="103" t="s">
        <v>144</v>
      </c>
      <c r="C261" s="104"/>
      <c r="D261" s="91">
        <v>46</v>
      </c>
      <c r="E261" s="91">
        <v>46</v>
      </c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117"/>
      <c r="S261" s="91"/>
      <c r="T261" s="77"/>
      <c r="U261" s="80"/>
    </row>
    <row r="262" spans="1:21" x14ac:dyDescent="0.2">
      <c r="A262" s="1"/>
      <c r="B262" s="103" t="s">
        <v>27</v>
      </c>
      <c r="C262" s="127"/>
      <c r="D262" s="91">
        <v>11.5</v>
      </c>
      <c r="E262" s="91">
        <v>11.5</v>
      </c>
      <c r="F262" s="91">
        <f>2.5*D262/100</f>
        <v>0.28749999999999998</v>
      </c>
      <c r="G262" s="91">
        <f>15*D262/100</f>
        <v>1.7250000000000001</v>
      </c>
      <c r="H262" s="105">
        <f>3.4*D262/100</f>
        <v>0.39100000000000001</v>
      </c>
      <c r="I262" s="106">
        <f>206*E262/100</f>
        <v>23.69</v>
      </c>
      <c r="J262" s="91">
        <f>109*D262/100</f>
        <v>12.535</v>
      </c>
      <c r="K262" s="91">
        <f>86*D262/100</f>
        <v>9.89</v>
      </c>
      <c r="L262" s="91">
        <f>8*D262/100</f>
        <v>0.92</v>
      </c>
      <c r="M262" s="91">
        <f>60*D262/100</f>
        <v>6.9</v>
      </c>
      <c r="N262" s="91">
        <f>0.2*D262/100</f>
        <v>2.3000000000000003E-2</v>
      </c>
      <c r="O262" s="91">
        <f>0.15*D262/100</f>
        <v>1.7249999999999998E-2</v>
      </c>
      <c r="P262" s="91">
        <f>0.03*D262/100</f>
        <v>3.4499999999999999E-3</v>
      </c>
      <c r="Q262" s="91">
        <f>0.11*D262/100</f>
        <v>1.265E-2</v>
      </c>
      <c r="R262" s="93">
        <f>0.1*D262/100</f>
        <v>1.1500000000000002E-2</v>
      </c>
      <c r="S262" s="91">
        <f>0.3*D262/100</f>
        <v>3.4499999999999996E-2</v>
      </c>
      <c r="T262" s="77">
        <v>303.64</v>
      </c>
      <c r="U262" s="80">
        <f>D262*T262/1000</f>
        <v>3.4918599999999995</v>
      </c>
    </row>
    <row r="263" spans="1:21" x14ac:dyDescent="0.2">
      <c r="A263" s="1"/>
      <c r="B263" s="103" t="s">
        <v>115</v>
      </c>
      <c r="C263" s="102"/>
      <c r="D263" s="91">
        <v>3.4</v>
      </c>
      <c r="E263" s="91">
        <v>3.4</v>
      </c>
      <c r="F263" s="79">
        <v>0.41</v>
      </c>
      <c r="G263" s="79">
        <v>0</v>
      </c>
      <c r="H263" s="79">
        <v>2.76</v>
      </c>
      <c r="I263" s="79">
        <v>13.36</v>
      </c>
      <c r="J263" s="79">
        <v>7.04</v>
      </c>
      <c r="K263" s="79">
        <v>4.5999999999999996</v>
      </c>
      <c r="L263" s="79">
        <v>0</v>
      </c>
      <c r="M263" s="79">
        <v>0</v>
      </c>
      <c r="N263" s="79">
        <v>0</v>
      </c>
      <c r="O263" s="79">
        <v>0</v>
      </c>
      <c r="P263" s="79">
        <v>0</v>
      </c>
      <c r="Q263" s="79">
        <v>0</v>
      </c>
      <c r="R263" s="117">
        <v>0.05</v>
      </c>
      <c r="S263" s="91">
        <v>0</v>
      </c>
      <c r="T263" s="77">
        <v>52.04</v>
      </c>
      <c r="U263" s="80">
        <f>D263*T263/1000</f>
        <v>0.17693599999999998</v>
      </c>
    </row>
    <row r="264" spans="1:21" x14ac:dyDescent="0.2">
      <c r="A264" s="1"/>
      <c r="B264" s="103" t="s">
        <v>20</v>
      </c>
      <c r="C264" s="104"/>
      <c r="D264" s="91">
        <v>34.5</v>
      </c>
      <c r="E264" s="91">
        <v>34.5</v>
      </c>
      <c r="F264" s="91">
        <v>0</v>
      </c>
      <c r="G264" s="91">
        <v>0</v>
      </c>
      <c r="H264" s="91">
        <v>0</v>
      </c>
      <c r="I264" s="91">
        <v>0</v>
      </c>
      <c r="J264" s="91">
        <v>0</v>
      </c>
      <c r="K264" s="91">
        <v>0</v>
      </c>
      <c r="L264" s="91">
        <v>0</v>
      </c>
      <c r="M264" s="91">
        <v>0</v>
      </c>
      <c r="N264" s="91">
        <v>0</v>
      </c>
      <c r="O264" s="91">
        <v>0</v>
      </c>
      <c r="P264" s="91">
        <v>0</v>
      </c>
      <c r="Q264" s="91">
        <v>0</v>
      </c>
      <c r="R264" s="93"/>
      <c r="S264" s="91">
        <v>0</v>
      </c>
      <c r="T264" s="77">
        <v>0</v>
      </c>
      <c r="U264" s="80">
        <v>0</v>
      </c>
    </row>
    <row r="265" spans="1:21" x14ac:dyDescent="0.2">
      <c r="A265" s="1"/>
      <c r="B265" s="103" t="s">
        <v>18</v>
      </c>
      <c r="C265" s="104"/>
      <c r="D265" s="91">
        <v>12</v>
      </c>
      <c r="E265" s="91">
        <v>10</v>
      </c>
      <c r="F265" s="78">
        <f>1.4*E265/100</f>
        <v>0.14000000000000001</v>
      </c>
      <c r="G265" s="78">
        <v>0</v>
      </c>
      <c r="H265" s="78">
        <f>8.2*E265/100</f>
        <v>0.82</v>
      </c>
      <c r="I265" s="78">
        <f>41*E265/100</f>
        <v>4.0999999999999996</v>
      </c>
      <c r="J265" s="78">
        <f>175*E265/100</f>
        <v>17.5</v>
      </c>
      <c r="K265" s="78">
        <f>31*E265/100</f>
        <v>3.1</v>
      </c>
      <c r="L265" s="78">
        <f>14*E265/100</f>
        <v>1.4</v>
      </c>
      <c r="M265" s="78">
        <f>58*E265/100</f>
        <v>5.8</v>
      </c>
      <c r="N265" s="78">
        <v>0</v>
      </c>
      <c r="O265" s="78">
        <v>0</v>
      </c>
      <c r="P265" s="78">
        <v>0</v>
      </c>
      <c r="Q265" s="78">
        <v>0</v>
      </c>
      <c r="R265" s="90">
        <v>0</v>
      </c>
      <c r="S265" s="78">
        <f>10*E265/100</f>
        <v>1</v>
      </c>
      <c r="T265" s="77">
        <v>35</v>
      </c>
      <c r="U265" s="80">
        <f>D265*T265/1000</f>
        <v>0.42</v>
      </c>
    </row>
    <row r="266" spans="1:21" x14ac:dyDescent="0.2">
      <c r="A266" s="1"/>
      <c r="B266" s="110" t="s">
        <v>22</v>
      </c>
      <c r="C266" s="104"/>
      <c r="D266" s="91">
        <v>1</v>
      </c>
      <c r="E266" s="91">
        <v>1</v>
      </c>
      <c r="F266" s="16">
        <f>0.8*D266/100</f>
        <v>8.0000000000000002E-3</v>
      </c>
      <c r="G266" s="16">
        <f>72.5*D266/100</f>
        <v>0.72499999999999998</v>
      </c>
      <c r="H266" s="16">
        <f>1.3*D266/100</f>
        <v>1.3000000000000001E-2</v>
      </c>
      <c r="I266" s="16">
        <f>661*D266/100</f>
        <v>6.61</v>
      </c>
      <c r="J266" s="26">
        <f>23*D266/100</f>
        <v>0.23</v>
      </c>
      <c r="K266" s="16">
        <f>22*D266/100</f>
        <v>0.22</v>
      </c>
      <c r="L266" s="26">
        <f>3*D266/100</f>
        <v>0.03</v>
      </c>
      <c r="M266" s="16">
        <f>19*E266/100</f>
        <v>0.19</v>
      </c>
      <c r="N266" s="16">
        <f>0.2*E266/100</f>
        <v>2E-3</v>
      </c>
      <c r="O266" s="16">
        <f>0.5*E266/100</f>
        <v>5.0000000000000001E-3</v>
      </c>
      <c r="P266" s="16">
        <v>0</v>
      </c>
      <c r="Q266" s="16">
        <v>0</v>
      </c>
      <c r="R266" s="18">
        <v>0</v>
      </c>
      <c r="S266" s="16">
        <v>0</v>
      </c>
      <c r="T266" s="77">
        <v>800</v>
      </c>
      <c r="U266" s="80">
        <f>D266*T266/1000</f>
        <v>0.8</v>
      </c>
    </row>
    <row r="267" spans="1:21" x14ac:dyDescent="0.2">
      <c r="A267" s="86"/>
      <c r="B267" s="95" t="s">
        <v>25</v>
      </c>
      <c r="C267" s="116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90"/>
      <c r="S267" s="78"/>
      <c r="T267" s="77"/>
      <c r="U267" s="81">
        <f>SUM(U253:U266)</f>
        <v>47.161116</v>
      </c>
    </row>
    <row r="268" spans="1:21" ht="17.25" customHeight="1" x14ac:dyDescent="0.2">
      <c r="A268" s="1" t="s">
        <v>31</v>
      </c>
      <c r="B268" s="76" t="s">
        <v>32</v>
      </c>
      <c r="C268" s="102">
        <v>180</v>
      </c>
      <c r="D268" s="91"/>
      <c r="E268" s="86"/>
      <c r="F268" s="86">
        <f>F269+F270+F271</f>
        <v>6.3999999999999995</v>
      </c>
      <c r="G268" s="86">
        <f t="shared" ref="G268:S268" si="42">G269+G270+G271</f>
        <v>5.7460000000000004</v>
      </c>
      <c r="H268" s="86">
        <f t="shared" si="42"/>
        <v>42.607999999999997</v>
      </c>
      <c r="I268" s="86">
        <f t="shared" si="42"/>
        <v>251.84</v>
      </c>
      <c r="J268" s="86">
        <f t="shared" si="42"/>
        <v>77.25</v>
      </c>
      <c r="K268" s="86">
        <f t="shared" si="42"/>
        <v>12.52</v>
      </c>
      <c r="L268" s="86">
        <f t="shared" si="42"/>
        <v>9.9700000000000006</v>
      </c>
      <c r="M268" s="86">
        <f t="shared" si="42"/>
        <v>54.4</v>
      </c>
      <c r="N268" s="86">
        <f t="shared" si="42"/>
        <v>0.746</v>
      </c>
      <c r="O268" s="86">
        <f t="shared" si="42"/>
        <v>3.5000000000000003E-2</v>
      </c>
      <c r="P268" s="86">
        <f t="shared" si="42"/>
        <v>0</v>
      </c>
      <c r="Q268" s="86">
        <f t="shared" si="42"/>
        <v>0</v>
      </c>
      <c r="R268" s="87">
        <f t="shared" si="42"/>
        <v>0</v>
      </c>
      <c r="S268" s="86">
        <f t="shared" si="42"/>
        <v>0</v>
      </c>
      <c r="T268" s="77"/>
      <c r="U268" s="78"/>
    </row>
    <row r="269" spans="1:21" x14ac:dyDescent="0.2">
      <c r="A269" s="1"/>
      <c r="B269" s="121" t="s">
        <v>33</v>
      </c>
      <c r="C269" s="116"/>
      <c r="D269" s="91">
        <v>61</v>
      </c>
      <c r="E269" s="91">
        <v>61</v>
      </c>
      <c r="F269" s="91">
        <f>10.4*E269/100</f>
        <v>6.3439999999999994</v>
      </c>
      <c r="G269" s="91">
        <f>1.1*E269/100</f>
        <v>0.67100000000000004</v>
      </c>
      <c r="H269" s="91">
        <f>69.7*E269/100</f>
        <v>42.516999999999996</v>
      </c>
      <c r="I269" s="91">
        <f>337*E269/100</f>
        <v>205.57</v>
      </c>
      <c r="J269" s="92">
        <f>124*E269/100</f>
        <v>75.64</v>
      </c>
      <c r="K269" s="91">
        <f>18*E269/100</f>
        <v>10.98</v>
      </c>
      <c r="L269" s="91">
        <f>16*E269/100</f>
        <v>9.76</v>
      </c>
      <c r="M269" s="91">
        <f>87*E269/100</f>
        <v>53.07</v>
      </c>
      <c r="N269" s="91">
        <f>1.2*E269/100</f>
        <v>0.73199999999999998</v>
      </c>
      <c r="O269" s="91">
        <v>0</v>
      </c>
      <c r="P269" s="91">
        <v>0</v>
      </c>
      <c r="Q269" s="91">
        <v>0</v>
      </c>
      <c r="R269" s="93">
        <v>0</v>
      </c>
      <c r="S269" s="91">
        <v>0</v>
      </c>
      <c r="T269" s="77">
        <v>114</v>
      </c>
      <c r="U269" s="80">
        <f>D269*T269/1000</f>
        <v>6.9539999999999997</v>
      </c>
    </row>
    <row r="270" spans="1:21" x14ac:dyDescent="0.2">
      <c r="A270" s="1"/>
      <c r="B270" s="121" t="s">
        <v>24</v>
      </c>
      <c r="C270" s="116"/>
      <c r="D270" s="91">
        <v>2</v>
      </c>
      <c r="E270" s="91">
        <v>2</v>
      </c>
      <c r="F270" s="91">
        <v>0</v>
      </c>
      <c r="G270" s="91">
        <v>0</v>
      </c>
      <c r="H270" s="91">
        <v>0</v>
      </c>
      <c r="I270" s="91">
        <v>0</v>
      </c>
      <c r="J270" s="91">
        <v>0</v>
      </c>
      <c r="K270" s="91">
        <v>0</v>
      </c>
      <c r="L270" s="91">
        <v>0</v>
      </c>
      <c r="M270" s="91">
        <v>0</v>
      </c>
      <c r="N270" s="91">
        <v>0</v>
      </c>
      <c r="O270" s="91">
        <v>0</v>
      </c>
      <c r="P270" s="91">
        <v>0</v>
      </c>
      <c r="Q270" s="91">
        <v>0</v>
      </c>
      <c r="R270" s="93">
        <v>0</v>
      </c>
      <c r="S270" s="91">
        <v>0</v>
      </c>
      <c r="T270" s="77">
        <v>20.87</v>
      </c>
      <c r="U270" s="80">
        <f>D270*T270/1000</f>
        <v>4.1739999999999999E-2</v>
      </c>
    </row>
    <row r="271" spans="1:21" x14ac:dyDescent="0.2">
      <c r="A271" s="1"/>
      <c r="B271" s="121" t="s">
        <v>22</v>
      </c>
      <c r="C271" s="116"/>
      <c r="D271" s="91">
        <v>7</v>
      </c>
      <c r="E271" s="91">
        <v>7</v>
      </c>
      <c r="F271" s="16">
        <f>0.8*D271/100</f>
        <v>5.6000000000000008E-2</v>
      </c>
      <c r="G271" s="16">
        <f>72.5*D271/100</f>
        <v>5.0750000000000002</v>
      </c>
      <c r="H271" s="16">
        <f>1.3*D271/100</f>
        <v>9.0999999999999998E-2</v>
      </c>
      <c r="I271" s="16">
        <f>661*D271/100</f>
        <v>46.27</v>
      </c>
      <c r="J271" s="26">
        <f>23*D271/100</f>
        <v>1.61</v>
      </c>
      <c r="K271" s="16">
        <f>22*D271/100</f>
        <v>1.54</v>
      </c>
      <c r="L271" s="26">
        <f>3*D271/100</f>
        <v>0.21</v>
      </c>
      <c r="M271" s="16">
        <f>19*E271/100</f>
        <v>1.33</v>
      </c>
      <c r="N271" s="16">
        <f>0.2*E271/100</f>
        <v>1.4000000000000002E-2</v>
      </c>
      <c r="O271" s="16">
        <f>0.5*E271/100</f>
        <v>3.5000000000000003E-2</v>
      </c>
      <c r="P271" s="16">
        <v>0</v>
      </c>
      <c r="Q271" s="16">
        <v>0</v>
      </c>
      <c r="R271" s="18">
        <v>0</v>
      </c>
      <c r="S271" s="16">
        <v>0</v>
      </c>
      <c r="T271" s="77">
        <v>800</v>
      </c>
      <c r="U271" s="80">
        <f>D271*T271/1000</f>
        <v>5.6</v>
      </c>
    </row>
    <row r="272" spans="1:21" x14ac:dyDescent="0.2">
      <c r="A272" s="1"/>
      <c r="B272" s="95" t="s">
        <v>25</v>
      </c>
      <c r="C272" s="101"/>
      <c r="D272" s="91"/>
      <c r="E272" s="91"/>
      <c r="F272" s="91"/>
      <c r="G272" s="91"/>
      <c r="H272" s="91"/>
      <c r="I272" s="91"/>
      <c r="J272" s="92"/>
      <c r="K272" s="91"/>
      <c r="L272" s="91"/>
      <c r="M272" s="91"/>
      <c r="N272" s="91"/>
      <c r="O272" s="91"/>
      <c r="P272" s="91"/>
      <c r="Q272" s="91"/>
      <c r="R272" s="93"/>
      <c r="S272" s="91"/>
      <c r="T272" s="77"/>
      <c r="U272" s="81">
        <f>SUM(U269:U271)</f>
        <v>12.595739999999999</v>
      </c>
    </row>
    <row r="273" spans="1:23" x14ac:dyDescent="0.2">
      <c r="A273" s="7" t="s">
        <v>50</v>
      </c>
      <c r="B273" s="4" t="s">
        <v>51</v>
      </c>
      <c r="C273" s="4">
        <v>200</v>
      </c>
      <c r="D273" s="4" t="s">
        <v>100</v>
      </c>
      <c r="E273" s="4"/>
      <c r="F273" s="4">
        <f>F274</f>
        <v>1</v>
      </c>
      <c r="G273" s="4">
        <f t="shared" ref="G273:S273" si="43">G274</f>
        <v>0.2</v>
      </c>
      <c r="H273" s="4">
        <f t="shared" si="43"/>
        <v>20.2</v>
      </c>
      <c r="I273" s="4">
        <f t="shared" si="43"/>
        <v>92</v>
      </c>
      <c r="J273" s="4">
        <f t="shared" si="43"/>
        <v>240</v>
      </c>
      <c r="K273" s="4">
        <f t="shared" si="43"/>
        <v>14</v>
      </c>
      <c r="L273" s="4">
        <f t="shared" si="43"/>
        <v>8</v>
      </c>
      <c r="M273" s="4">
        <f t="shared" si="43"/>
        <v>14</v>
      </c>
      <c r="N273" s="4">
        <f t="shared" si="43"/>
        <v>2.8</v>
      </c>
      <c r="O273" s="64">
        <f t="shared" si="43"/>
        <v>0</v>
      </c>
      <c r="P273" s="4">
        <f t="shared" si="43"/>
        <v>0</v>
      </c>
      <c r="Q273" s="4">
        <f t="shared" si="43"/>
        <v>0</v>
      </c>
      <c r="R273" s="4">
        <f t="shared" si="43"/>
        <v>0.4</v>
      </c>
      <c r="S273" s="4">
        <f t="shared" si="43"/>
        <v>4</v>
      </c>
      <c r="T273" s="16"/>
      <c r="U273" s="16"/>
    </row>
    <row r="274" spans="1:23" ht="25.5" x14ac:dyDescent="0.2">
      <c r="A274" s="8"/>
      <c r="B274" s="22" t="s">
        <v>60</v>
      </c>
      <c r="C274" s="16"/>
      <c r="D274" s="16">
        <v>200</v>
      </c>
      <c r="E274" s="16">
        <v>200</v>
      </c>
      <c r="F274" s="16">
        <f>0.5*E274/100</f>
        <v>1</v>
      </c>
      <c r="G274" s="16">
        <f>0.1*E274/100</f>
        <v>0.2</v>
      </c>
      <c r="H274" s="16">
        <f>10.1*E274/100</f>
        <v>20.2</v>
      </c>
      <c r="I274" s="16">
        <f>46*E274/100</f>
        <v>92</v>
      </c>
      <c r="J274" s="16">
        <f>120*E274/100</f>
        <v>240</v>
      </c>
      <c r="K274" s="16">
        <f>7*E274/100</f>
        <v>14</v>
      </c>
      <c r="L274" s="16">
        <f>4*E274/100</f>
        <v>8</v>
      </c>
      <c r="M274" s="16">
        <f>7*E274/100</f>
        <v>14</v>
      </c>
      <c r="N274" s="16">
        <f>1.4*E274/100</f>
        <v>2.8</v>
      </c>
      <c r="O274" s="61">
        <v>0</v>
      </c>
      <c r="P274" s="16">
        <v>0</v>
      </c>
      <c r="Q274" s="16">
        <v>0</v>
      </c>
      <c r="R274" s="18">
        <f>0.2*E274/100</f>
        <v>0.4</v>
      </c>
      <c r="S274" s="16">
        <f>2*E274/100</f>
        <v>4</v>
      </c>
      <c r="T274" s="16">
        <v>110</v>
      </c>
      <c r="U274" s="24">
        <f>D274*T274/1000</f>
        <v>22</v>
      </c>
    </row>
    <row r="275" spans="1:23" x14ac:dyDescent="0.2">
      <c r="A275" s="9"/>
      <c r="B275" s="28" t="s">
        <v>25</v>
      </c>
      <c r="C275" s="16"/>
      <c r="D275" s="16"/>
      <c r="E275" s="16"/>
      <c r="F275" s="16"/>
      <c r="G275" s="16"/>
      <c r="H275" s="16"/>
      <c r="I275" s="16"/>
      <c r="J275" s="16" t="s">
        <v>59</v>
      </c>
      <c r="K275" s="16"/>
      <c r="L275" s="16"/>
      <c r="M275" s="16"/>
      <c r="N275" s="16"/>
      <c r="O275" s="61"/>
      <c r="P275" s="16"/>
      <c r="Q275" s="16"/>
      <c r="R275" s="18"/>
      <c r="S275" s="16"/>
      <c r="T275" s="16"/>
      <c r="U275" s="32">
        <f>U274</f>
        <v>22</v>
      </c>
    </row>
    <row r="276" spans="1:23" x14ac:dyDescent="0.2">
      <c r="A276" s="71" t="s">
        <v>11</v>
      </c>
      <c r="B276" s="19" t="s">
        <v>1</v>
      </c>
      <c r="C276" s="19">
        <v>50</v>
      </c>
      <c r="D276" s="16">
        <v>50</v>
      </c>
      <c r="E276" s="16">
        <v>50</v>
      </c>
      <c r="F276" s="4">
        <f>7.7*E276/100</f>
        <v>3.85</v>
      </c>
      <c r="G276" s="4">
        <v>5.5</v>
      </c>
      <c r="H276" s="4">
        <f>49.8*E276/100</f>
        <v>24.9</v>
      </c>
      <c r="I276" s="4">
        <f>262*E276/100</f>
        <v>131</v>
      </c>
      <c r="J276" s="4">
        <f>127*E276/100</f>
        <v>63.5</v>
      </c>
      <c r="K276" s="4">
        <f>26*E276/100</f>
        <v>13</v>
      </c>
      <c r="L276" s="4">
        <f>35*E276/100</f>
        <v>17.5</v>
      </c>
      <c r="M276" s="4">
        <f>83*E276/100</f>
        <v>41.5</v>
      </c>
      <c r="N276" s="4">
        <f>1.6*E276/100</f>
        <v>0.8</v>
      </c>
      <c r="O276" s="64">
        <v>0</v>
      </c>
      <c r="P276" s="4">
        <f>0.16*E276/100</f>
        <v>0.08</v>
      </c>
      <c r="Q276" s="4">
        <f>0.08*E276/100</f>
        <v>0.04</v>
      </c>
      <c r="R276" s="21">
        <f>1.54*E276/100</f>
        <v>0.77</v>
      </c>
      <c r="S276" s="4">
        <v>0</v>
      </c>
      <c r="T276" s="16">
        <v>50</v>
      </c>
      <c r="U276" s="24">
        <f>E276*T276/1000</f>
        <v>2.5</v>
      </c>
    </row>
    <row r="277" spans="1:23" x14ac:dyDescent="0.2">
      <c r="A277" s="4" t="s">
        <v>98</v>
      </c>
      <c r="B277" s="19" t="s">
        <v>99</v>
      </c>
      <c r="C277" s="19">
        <v>50</v>
      </c>
      <c r="D277" s="16">
        <v>50</v>
      </c>
      <c r="E277" s="16">
        <v>50</v>
      </c>
      <c r="F277" s="4">
        <f>6.6*E277/100</f>
        <v>3.3</v>
      </c>
      <c r="G277" s="4">
        <f>1.2*E277/100</f>
        <v>0.6</v>
      </c>
      <c r="H277" s="4">
        <f>34.2*E277/100</f>
        <v>17.100000000000001</v>
      </c>
      <c r="I277" s="4">
        <f>181*E277/100</f>
        <v>90.5</v>
      </c>
      <c r="J277" s="4">
        <f>94*E277/100</f>
        <v>47</v>
      </c>
      <c r="K277" s="4">
        <f>34*E277/100</f>
        <v>17</v>
      </c>
      <c r="L277" s="4">
        <f>41*E277/100</f>
        <v>20.5</v>
      </c>
      <c r="M277" s="4">
        <f>120*E277/100</f>
        <v>60</v>
      </c>
      <c r="N277" s="4">
        <f>2.3*E277/100</f>
        <v>1.1499999999999999</v>
      </c>
      <c r="O277" s="64">
        <v>0</v>
      </c>
      <c r="P277" s="4">
        <v>0</v>
      </c>
      <c r="Q277" s="4">
        <v>0</v>
      </c>
      <c r="R277" s="21">
        <v>0</v>
      </c>
      <c r="S277" s="4">
        <v>0</v>
      </c>
      <c r="T277" s="16">
        <v>60</v>
      </c>
      <c r="U277" s="24">
        <f>E277*T277/1000</f>
        <v>3</v>
      </c>
    </row>
    <row r="278" spans="1:23" x14ac:dyDescent="0.2">
      <c r="A278" s="6" t="s">
        <v>104</v>
      </c>
      <c r="B278" s="39" t="s">
        <v>105</v>
      </c>
      <c r="C278" s="4">
        <v>60</v>
      </c>
      <c r="D278" s="16">
        <v>63.6</v>
      </c>
      <c r="E278" s="16">
        <v>60</v>
      </c>
      <c r="F278" s="4">
        <v>0.48</v>
      </c>
      <c r="G278" s="4">
        <v>0.06</v>
      </c>
      <c r="H278" s="4">
        <v>1.5</v>
      </c>
      <c r="I278" s="4">
        <v>8.4</v>
      </c>
      <c r="J278" s="4">
        <v>84.6</v>
      </c>
      <c r="K278" s="4">
        <v>13.8</v>
      </c>
      <c r="L278" s="4">
        <v>8.4</v>
      </c>
      <c r="M278" s="4">
        <v>25.2</v>
      </c>
      <c r="N278" s="4">
        <v>0.36</v>
      </c>
      <c r="O278" s="64">
        <v>6</v>
      </c>
      <c r="P278" s="4">
        <v>1.7999999999999999E-2</v>
      </c>
      <c r="Q278" s="4">
        <v>2.4E-2</v>
      </c>
      <c r="R278" s="21">
        <v>0.12</v>
      </c>
      <c r="S278" s="4">
        <v>6</v>
      </c>
      <c r="T278" s="16">
        <v>50</v>
      </c>
      <c r="U278" s="32">
        <f>D278*T278/1000</f>
        <v>3.18</v>
      </c>
    </row>
    <row r="279" spans="1:23" x14ac:dyDescent="0.2">
      <c r="A279" s="6" t="s">
        <v>11</v>
      </c>
      <c r="B279" s="19" t="s">
        <v>56</v>
      </c>
      <c r="C279" s="19">
        <v>180</v>
      </c>
      <c r="D279" s="16" t="s">
        <v>26</v>
      </c>
      <c r="E279" s="16">
        <v>180</v>
      </c>
      <c r="F279" s="4">
        <f>0.4*E279/100</f>
        <v>0.72</v>
      </c>
      <c r="G279" s="4">
        <f>0.4*E279/100</f>
        <v>0.72</v>
      </c>
      <c r="H279" s="4">
        <f>9.8*E279/100</f>
        <v>17.64</v>
      </c>
      <c r="I279" s="4">
        <f>47*E279/100</f>
        <v>84.6</v>
      </c>
      <c r="J279" s="4">
        <f>278*E279/100</f>
        <v>500.4</v>
      </c>
      <c r="K279" s="4">
        <f>16*E279/100</f>
        <v>28.8</v>
      </c>
      <c r="L279" s="4">
        <f>9*E279/100</f>
        <v>16.2</v>
      </c>
      <c r="M279" s="4">
        <f>11*E279/100</f>
        <v>19.8</v>
      </c>
      <c r="N279" s="4">
        <f>2.2*E279/100</f>
        <v>3.9600000000000004</v>
      </c>
      <c r="O279" s="64">
        <v>0</v>
      </c>
      <c r="P279" s="4">
        <v>0</v>
      </c>
      <c r="Q279" s="4">
        <v>0</v>
      </c>
      <c r="R279" s="21">
        <v>0</v>
      </c>
      <c r="S279" s="4">
        <f>10*E279/100</f>
        <v>18</v>
      </c>
      <c r="T279" s="16">
        <v>80</v>
      </c>
      <c r="U279" s="32">
        <f>C279*T279/1000</f>
        <v>14.4</v>
      </c>
    </row>
    <row r="280" spans="1:23" x14ac:dyDescent="0.2">
      <c r="A280" s="6"/>
      <c r="B280" s="4" t="s">
        <v>12</v>
      </c>
      <c r="C280" s="82">
        <f>C252+C268+C273+C276+C277+C278+C279</f>
        <v>860</v>
      </c>
      <c r="D280" s="16"/>
      <c r="E280" s="16"/>
      <c r="F280" s="82">
        <f t="shared" ref="F280:S280" si="44">F252+F268+F273+F276+F277+F278+F279</f>
        <v>28.685500000000001</v>
      </c>
      <c r="G280" s="82">
        <f t="shared" si="44"/>
        <v>28.195999999999998</v>
      </c>
      <c r="H280" s="82">
        <f t="shared" si="44"/>
        <v>137.40600000000001</v>
      </c>
      <c r="I280" s="82">
        <f t="shared" si="44"/>
        <v>905.58799999999997</v>
      </c>
      <c r="J280" s="82">
        <f t="shared" si="44"/>
        <v>1301.0450000000001</v>
      </c>
      <c r="K280" s="82">
        <f t="shared" si="44"/>
        <v>137.38</v>
      </c>
      <c r="L280" s="82">
        <f t="shared" si="44"/>
        <v>102.39</v>
      </c>
      <c r="M280" s="82">
        <f t="shared" si="44"/>
        <v>322.39</v>
      </c>
      <c r="N280" s="82">
        <f t="shared" si="44"/>
        <v>11.020999999999999</v>
      </c>
      <c r="O280" s="82">
        <f t="shared" si="44"/>
        <v>6.0572499999999998</v>
      </c>
      <c r="P280" s="82">
        <f t="shared" si="44"/>
        <v>0.11645000000000001</v>
      </c>
      <c r="Q280" s="82">
        <f t="shared" si="44"/>
        <v>0.15664999999999998</v>
      </c>
      <c r="R280" s="82">
        <f t="shared" si="44"/>
        <v>3.3214999999999999</v>
      </c>
      <c r="S280" s="82">
        <f t="shared" si="44"/>
        <v>31.734500000000001</v>
      </c>
      <c r="T280" s="16"/>
      <c r="U280" s="33">
        <f>U267+U272+U275+U276+U277+U278+U279</f>
        <v>104.83685600000001</v>
      </c>
    </row>
    <row r="281" spans="1:23" x14ac:dyDescent="0.2">
      <c r="A281" s="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61"/>
      <c r="P281" s="16"/>
      <c r="Q281" s="16"/>
      <c r="R281" s="18"/>
      <c r="S281" s="16"/>
      <c r="T281" s="16"/>
      <c r="U281" s="16"/>
    </row>
    <row r="282" spans="1:23" x14ac:dyDescent="0.2">
      <c r="A282" s="175" t="s">
        <v>57</v>
      </c>
      <c r="B282" s="176"/>
      <c r="C282" s="16">
        <f>C30+C54+C82+C110+C137+C165+C187+C217+C248+C280</f>
        <v>7598</v>
      </c>
      <c r="D282" s="16"/>
      <c r="E282" s="16"/>
      <c r="F282" s="24">
        <f t="shared" ref="F282:S282" si="45">F30+F54+F82+F110+F137+F165+F187+F217+F248+F280</f>
        <v>320.74180000000001</v>
      </c>
      <c r="G282" s="24">
        <f t="shared" si="45"/>
        <v>309.72730000000001</v>
      </c>
      <c r="H282" s="24">
        <f t="shared" si="45"/>
        <v>1305.2440999999999</v>
      </c>
      <c r="I282" s="24">
        <f t="shared" si="45"/>
        <v>9226.4634000000005</v>
      </c>
      <c r="J282" s="24">
        <f t="shared" si="45"/>
        <v>12147.085999999999</v>
      </c>
      <c r="K282" s="24">
        <f t="shared" si="45"/>
        <v>3917.2690000000002</v>
      </c>
      <c r="L282" s="24">
        <f t="shared" si="45"/>
        <v>1403.9019999999998</v>
      </c>
      <c r="M282" s="24">
        <f t="shared" si="45"/>
        <v>5254.7090000000007</v>
      </c>
      <c r="N282" s="24">
        <f t="shared" si="45"/>
        <v>78.732199999999992</v>
      </c>
      <c r="O282" s="24">
        <f t="shared" si="45"/>
        <v>838.64524999999992</v>
      </c>
      <c r="P282" s="24">
        <f t="shared" si="45"/>
        <v>1.4620300000000002</v>
      </c>
      <c r="Q282" s="24">
        <f t="shared" si="45"/>
        <v>2.88748</v>
      </c>
      <c r="R282" s="24">
        <f t="shared" si="45"/>
        <v>50.232459999999996</v>
      </c>
      <c r="S282" s="24">
        <f t="shared" si="45"/>
        <v>517.43669999999997</v>
      </c>
      <c r="T282" s="16"/>
      <c r="U282" s="25">
        <f>U30+U54+U82+U110+U137+U165+U187+U217+U248+U280</f>
        <v>979.57560500000011</v>
      </c>
      <c r="W282" s="159"/>
    </row>
    <row r="283" spans="1:23" x14ac:dyDescent="0.2">
      <c r="A283" s="177" t="s">
        <v>58</v>
      </c>
      <c r="B283" s="178"/>
      <c r="C283" s="16">
        <f>C282/10</f>
        <v>759.8</v>
      </c>
      <c r="D283" s="16"/>
      <c r="E283" s="16"/>
      <c r="F283" s="34">
        <f>F282/10</f>
        <v>32.074179999999998</v>
      </c>
      <c r="G283" s="34">
        <f t="shared" ref="G283:S283" si="46">G282/10</f>
        <v>30.972730000000002</v>
      </c>
      <c r="H283" s="34">
        <f t="shared" si="46"/>
        <v>130.52440999999999</v>
      </c>
      <c r="I283" s="34">
        <f t="shared" si="46"/>
        <v>922.64634000000001</v>
      </c>
      <c r="J283" s="34">
        <f t="shared" si="46"/>
        <v>1214.7085999999999</v>
      </c>
      <c r="K283" s="34">
        <f t="shared" si="46"/>
        <v>391.7269</v>
      </c>
      <c r="L283" s="34">
        <f t="shared" si="46"/>
        <v>140.39019999999999</v>
      </c>
      <c r="M283" s="34">
        <f t="shared" si="46"/>
        <v>525.47090000000003</v>
      </c>
      <c r="N283" s="34">
        <f t="shared" si="46"/>
        <v>7.873219999999999</v>
      </c>
      <c r="O283" s="34">
        <f t="shared" si="46"/>
        <v>83.864524999999986</v>
      </c>
      <c r="P283" s="34">
        <f t="shared" si="46"/>
        <v>0.14620300000000003</v>
      </c>
      <c r="Q283" s="34">
        <f t="shared" si="46"/>
        <v>0.288748</v>
      </c>
      <c r="R283" s="34">
        <f t="shared" si="46"/>
        <v>5.0232459999999994</v>
      </c>
      <c r="S283" s="34">
        <f t="shared" si="46"/>
        <v>51.743669999999995</v>
      </c>
      <c r="T283" s="16"/>
      <c r="U283" s="156">
        <f>U282/10</f>
        <v>97.957560500000014</v>
      </c>
    </row>
    <row r="284" spans="1:23" x14ac:dyDescent="0.2">
      <c r="U284" s="44" t="s">
        <v>62</v>
      </c>
    </row>
    <row r="285" spans="1:23" x14ac:dyDescent="0.2">
      <c r="A285" s="69" t="s">
        <v>102</v>
      </c>
      <c r="B285" s="44" t="s">
        <v>146</v>
      </c>
      <c r="C285" s="45"/>
      <c r="O285" s="44"/>
      <c r="Q285" s="46"/>
    </row>
    <row r="286" spans="1:23" x14ac:dyDescent="0.2">
      <c r="O286" s="44"/>
      <c r="Q286" s="46"/>
    </row>
    <row r="288" spans="1:23" x14ac:dyDescent="0.2">
      <c r="K288" s="44" t="s">
        <v>97</v>
      </c>
    </row>
  </sheetData>
  <mergeCells count="18">
    <mergeCell ref="A282:B282"/>
    <mergeCell ref="A283:B283"/>
    <mergeCell ref="A1:A3"/>
    <mergeCell ref="B1:B3"/>
    <mergeCell ref="C1:C3"/>
    <mergeCell ref="D1:D3"/>
    <mergeCell ref="A138:U138"/>
    <mergeCell ref="F1:H1"/>
    <mergeCell ref="U1:U2"/>
    <mergeCell ref="T1:T2"/>
    <mergeCell ref="O1:S2"/>
    <mergeCell ref="A4:U4"/>
    <mergeCell ref="E1:E3"/>
    <mergeCell ref="F2:F3"/>
    <mergeCell ref="G2:G3"/>
    <mergeCell ref="H2:H3"/>
    <mergeCell ref="I1:I3"/>
    <mergeCell ref="J1:N2"/>
  </mergeCells>
  <pageMargins left="0.39370078740157483" right="0.19685039370078741" top="0.19685039370078741" bottom="0.19685039370078741" header="0.31496062992125984" footer="0.31496062992125984"/>
  <pageSetup paperSize="9" scale="8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F5C38-9345-4829-98ED-827581E110FB}">
  <dimension ref="A1:S113"/>
  <sheetViews>
    <sheetView topLeftCell="A40" zoomScale="91" zoomScaleNormal="91" workbookViewId="0">
      <selection activeCell="G121" sqref="G121"/>
    </sheetView>
  </sheetViews>
  <sheetFormatPr defaultRowHeight="12.75" x14ac:dyDescent="0.2"/>
  <cols>
    <col min="1" max="1" width="12.42578125" style="11" customWidth="1"/>
    <col min="2" max="2" width="33" style="44" customWidth="1"/>
    <col min="3" max="3" width="10.140625" style="44" customWidth="1"/>
    <col min="4" max="4" width="7.140625" style="44" customWidth="1"/>
    <col min="5" max="5" width="7.85546875" style="44" customWidth="1"/>
    <col min="6" max="6" width="9.42578125" style="44" customWidth="1"/>
    <col min="7" max="7" width="8.7109375" style="44" customWidth="1"/>
    <col min="8" max="8" width="8" style="44" customWidth="1"/>
    <col min="9" max="9" width="7.42578125" style="44" customWidth="1"/>
    <col min="10" max="11" width="6.85546875" style="44" customWidth="1"/>
    <col min="12" max="12" width="5.7109375" style="44" customWidth="1"/>
    <col min="13" max="13" width="7.85546875" style="44" customWidth="1"/>
    <col min="14" max="14" width="6.28515625" style="44" customWidth="1"/>
    <col min="15" max="15" width="6.7109375" style="44" customWidth="1"/>
    <col min="16" max="16" width="6.28515625" style="44" customWidth="1"/>
    <col min="17" max="17" width="6.28515625" style="46" customWidth="1"/>
    <col min="18" max="18" width="7.140625" style="44" customWidth="1"/>
  </cols>
  <sheetData>
    <row r="1" spans="1:18" ht="21.75" customHeight="1" x14ac:dyDescent="0.2">
      <c r="A1" s="193" t="s">
        <v>75</v>
      </c>
      <c r="B1" s="182" t="s">
        <v>63</v>
      </c>
      <c r="C1" s="172" t="s">
        <v>73</v>
      </c>
      <c r="D1" s="177" t="s">
        <v>64</v>
      </c>
      <c r="E1" s="188"/>
      <c r="F1" s="178"/>
      <c r="G1" s="172" t="s">
        <v>68</v>
      </c>
      <c r="H1" s="161" t="s">
        <v>69</v>
      </c>
      <c r="I1" s="162"/>
      <c r="J1" s="162"/>
      <c r="K1" s="162"/>
      <c r="L1" s="163"/>
      <c r="M1" s="161" t="s">
        <v>70</v>
      </c>
      <c r="N1" s="162"/>
      <c r="O1" s="162"/>
      <c r="P1" s="162"/>
      <c r="Q1" s="163"/>
      <c r="R1" s="196" t="s">
        <v>72</v>
      </c>
    </row>
    <row r="2" spans="1:18" ht="28.5" customHeight="1" x14ac:dyDescent="0.2">
      <c r="A2" s="194"/>
      <c r="B2" s="183"/>
      <c r="C2" s="173"/>
      <c r="D2" s="170" t="s">
        <v>65</v>
      </c>
      <c r="E2" s="170" t="s">
        <v>66</v>
      </c>
      <c r="F2" s="171" t="s">
        <v>67</v>
      </c>
      <c r="G2" s="173"/>
      <c r="H2" s="164"/>
      <c r="I2" s="165"/>
      <c r="J2" s="165"/>
      <c r="K2" s="165"/>
      <c r="L2" s="166"/>
      <c r="M2" s="164"/>
      <c r="N2" s="165"/>
      <c r="O2" s="165"/>
      <c r="P2" s="165"/>
      <c r="Q2" s="166"/>
      <c r="R2" s="197"/>
    </row>
    <row r="3" spans="1:18" ht="14.25" customHeight="1" x14ac:dyDescent="0.2">
      <c r="A3" s="195"/>
      <c r="B3" s="184"/>
      <c r="C3" s="174"/>
      <c r="D3" s="170"/>
      <c r="E3" s="170"/>
      <c r="F3" s="171"/>
      <c r="G3" s="174"/>
      <c r="H3" s="12" t="s">
        <v>13</v>
      </c>
      <c r="I3" s="12" t="s">
        <v>2</v>
      </c>
      <c r="J3" s="12" t="s">
        <v>3</v>
      </c>
      <c r="K3" s="12" t="s">
        <v>4</v>
      </c>
      <c r="L3" s="12" t="s">
        <v>5</v>
      </c>
      <c r="M3" s="12" t="s">
        <v>6</v>
      </c>
      <c r="N3" s="12" t="s">
        <v>7</v>
      </c>
      <c r="O3" s="12" t="s">
        <v>8</v>
      </c>
      <c r="P3" s="12" t="s">
        <v>9</v>
      </c>
      <c r="Q3" s="12" t="s">
        <v>10</v>
      </c>
      <c r="R3" s="198"/>
    </row>
    <row r="4" spans="1:18" ht="14.25" customHeight="1" x14ac:dyDescent="0.2">
      <c r="A4" s="167" t="s">
        <v>85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9"/>
    </row>
    <row r="5" spans="1:18" ht="16.5" customHeight="1" x14ac:dyDescent="0.2">
      <c r="A5" s="5"/>
      <c r="B5" s="13" t="s">
        <v>71</v>
      </c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  <c r="Q5" s="14"/>
      <c r="R5" s="14"/>
    </row>
    <row r="6" spans="1:18" ht="16.5" customHeight="1" x14ac:dyDescent="0.2">
      <c r="A6" s="6"/>
      <c r="B6" s="17" t="s">
        <v>0</v>
      </c>
      <c r="C6" s="1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8"/>
      <c r="Q6" s="16"/>
      <c r="R6" s="16"/>
    </row>
    <row r="7" spans="1:18" ht="28.5" customHeight="1" x14ac:dyDescent="0.2">
      <c r="A7" s="9" t="s">
        <v>45</v>
      </c>
      <c r="B7" s="22" t="s">
        <v>171</v>
      </c>
      <c r="C7" s="23" t="s">
        <v>172</v>
      </c>
      <c r="D7" s="24">
        <v>9.0400000000000009</v>
      </c>
      <c r="E7" s="24">
        <v>13.05</v>
      </c>
      <c r="F7" s="24">
        <v>47.518000000000008</v>
      </c>
      <c r="G7" s="24">
        <v>341.93999999999994</v>
      </c>
      <c r="H7" s="24">
        <v>273.98</v>
      </c>
      <c r="I7" s="24">
        <v>198.51999999999998</v>
      </c>
      <c r="J7" s="24">
        <v>59.1</v>
      </c>
      <c r="K7" s="24">
        <v>247.1</v>
      </c>
      <c r="L7" s="24">
        <v>3.22</v>
      </c>
      <c r="M7" s="24">
        <v>0.05</v>
      </c>
      <c r="N7" s="24">
        <v>0</v>
      </c>
      <c r="O7" s="24">
        <v>0</v>
      </c>
      <c r="P7" s="24">
        <v>1.6760000000000002</v>
      </c>
      <c r="Q7" s="24">
        <v>1.82</v>
      </c>
      <c r="R7" s="24">
        <v>23.27</v>
      </c>
    </row>
    <row r="8" spans="1:18" ht="27" customHeight="1" x14ac:dyDescent="0.2">
      <c r="A8" s="10" t="s">
        <v>49</v>
      </c>
      <c r="B8" s="22" t="s">
        <v>147</v>
      </c>
      <c r="C8" s="139" t="s">
        <v>151</v>
      </c>
      <c r="D8" s="16">
        <v>5.76</v>
      </c>
      <c r="E8" s="24">
        <v>8.85</v>
      </c>
      <c r="F8" s="24">
        <v>14.9</v>
      </c>
      <c r="G8" s="24">
        <v>165.7</v>
      </c>
      <c r="H8" s="24">
        <v>58.75</v>
      </c>
      <c r="I8" s="24">
        <v>164.9</v>
      </c>
      <c r="J8" s="24">
        <v>10.65</v>
      </c>
      <c r="K8" s="24">
        <v>107.44999999999999</v>
      </c>
      <c r="L8" s="24">
        <v>0.49</v>
      </c>
      <c r="M8" s="24">
        <v>5.6500000000000002E-2</v>
      </c>
      <c r="N8" s="24">
        <v>0</v>
      </c>
      <c r="O8" s="24">
        <v>5.7000000000000002E-2</v>
      </c>
      <c r="P8" s="24">
        <v>0.52200000000000002</v>
      </c>
      <c r="Q8" s="16">
        <v>0.42</v>
      </c>
      <c r="R8" s="24">
        <f>'завтраки(с ценами)'!U19</f>
        <v>17.34</v>
      </c>
    </row>
    <row r="9" spans="1:18" ht="30.75" customHeight="1" x14ac:dyDescent="0.2">
      <c r="A9" s="136" t="s">
        <v>55</v>
      </c>
      <c r="B9" s="137" t="s">
        <v>148</v>
      </c>
      <c r="C9" s="138" t="s">
        <v>149</v>
      </c>
      <c r="D9" s="16">
        <v>0.1</v>
      </c>
      <c r="E9" s="16">
        <v>0</v>
      </c>
      <c r="F9" s="16">
        <v>15.2</v>
      </c>
      <c r="G9" s="16">
        <v>60</v>
      </c>
      <c r="H9" s="16">
        <v>24.3</v>
      </c>
      <c r="I9" s="16">
        <v>5.7</v>
      </c>
      <c r="J9" s="16">
        <v>3</v>
      </c>
      <c r="K9" s="16">
        <v>5.6</v>
      </c>
      <c r="L9" s="16">
        <v>0.4</v>
      </c>
      <c r="M9" s="16">
        <v>0</v>
      </c>
      <c r="N9" s="16">
        <v>0</v>
      </c>
      <c r="O9" s="16">
        <v>0</v>
      </c>
      <c r="P9" s="16">
        <v>0</v>
      </c>
      <c r="Q9" s="16">
        <v>2.8</v>
      </c>
      <c r="R9" s="16">
        <v>2.96</v>
      </c>
    </row>
    <row r="10" spans="1:18" ht="17.25" customHeight="1" x14ac:dyDescent="0.2">
      <c r="A10" s="9" t="s">
        <v>11</v>
      </c>
      <c r="B10" s="70" t="s">
        <v>150</v>
      </c>
      <c r="C10" s="23">
        <v>20</v>
      </c>
      <c r="D10" s="16">
        <v>1.54</v>
      </c>
      <c r="E10" s="16">
        <v>1.6</v>
      </c>
      <c r="F10" s="16">
        <v>9.9600000000000009</v>
      </c>
      <c r="G10" s="16">
        <v>52.4</v>
      </c>
      <c r="H10" s="16">
        <v>25.4</v>
      </c>
      <c r="I10" s="16">
        <v>5.2</v>
      </c>
      <c r="J10" s="16">
        <v>7</v>
      </c>
      <c r="K10" s="16">
        <v>16.600000000000001</v>
      </c>
      <c r="L10" s="16">
        <v>0.32</v>
      </c>
      <c r="M10" s="16">
        <v>0</v>
      </c>
      <c r="N10" s="16">
        <v>3.2000000000000001E-2</v>
      </c>
      <c r="O10" s="16">
        <v>1.6E-2</v>
      </c>
      <c r="P10" s="18">
        <v>0.308</v>
      </c>
      <c r="Q10" s="16">
        <v>0</v>
      </c>
      <c r="R10" s="24">
        <v>1</v>
      </c>
    </row>
    <row r="11" spans="1:18" ht="17.25" customHeight="1" x14ac:dyDescent="0.2">
      <c r="A11" s="9" t="s">
        <v>98</v>
      </c>
      <c r="B11" s="22" t="s">
        <v>99</v>
      </c>
      <c r="C11" s="22">
        <v>50</v>
      </c>
      <c r="D11" s="16">
        <v>3.3</v>
      </c>
      <c r="E11" s="16">
        <v>0.6</v>
      </c>
      <c r="F11" s="16">
        <v>17.100000000000001</v>
      </c>
      <c r="G11" s="16">
        <v>90.5</v>
      </c>
      <c r="H11" s="16">
        <v>47</v>
      </c>
      <c r="I11" s="16">
        <v>17</v>
      </c>
      <c r="J11" s="16">
        <v>20.5</v>
      </c>
      <c r="K11" s="16">
        <v>60</v>
      </c>
      <c r="L11" s="16">
        <v>1.1499999999999999</v>
      </c>
      <c r="M11" s="16">
        <v>0</v>
      </c>
      <c r="N11" s="16">
        <v>0</v>
      </c>
      <c r="O11" s="16">
        <v>0</v>
      </c>
      <c r="P11" s="18">
        <v>0</v>
      </c>
      <c r="Q11" s="16">
        <v>0</v>
      </c>
      <c r="R11" s="24">
        <v>3</v>
      </c>
    </row>
    <row r="12" spans="1:18" ht="27" customHeight="1" x14ac:dyDescent="0.2">
      <c r="A12" s="9" t="s">
        <v>11</v>
      </c>
      <c r="B12" s="22" t="s">
        <v>152</v>
      </c>
      <c r="C12" s="23" t="s">
        <v>153</v>
      </c>
      <c r="D12" s="16">
        <v>1.6</v>
      </c>
      <c r="E12" s="16">
        <v>0.4</v>
      </c>
      <c r="F12" s="16">
        <v>15</v>
      </c>
      <c r="G12" s="16">
        <v>76</v>
      </c>
      <c r="H12" s="16">
        <v>310</v>
      </c>
      <c r="I12" s="16">
        <v>70</v>
      </c>
      <c r="J12" s="16">
        <v>22</v>
      </c>
      <c r="K12" s="16">
        <v>34</v>
      </c>
      <c r="L12" s="16">
        <v>0.2</v>
      </c>
      <c r="M12" s="16">
        <v>20</v>
      </c>
      <c r="N12" s="16">
        <v>0.12</v>
      </c>
      <c r="O12" s="16">
        <v>0.06</v>
      </c>
      <c r="P12" s="18">
        <v>0.6</v>
      </c>
      <c r="Q12" s="16">
        <v>76</v>
      </c>
      <c r="R12" s="24">
        <v>19.8</v>
      </c>
    </row>
    <row r="13" spans="1:18" ht="16.5" customHeight="1" x14ac:dyDescent="0.2">
      <c r="A13" s="177" t="s">
        <v>12</v>
      </c>
      <c r="B13" s="178"/>
      <c r="C13" s="4">
        <v>727</v>
      </c>
      <c r="D13" s="34">
        <v>21.340000000000003</v>
      </c>
      <c r="E13" s="34">
        <v>24.5</v>
      </c>
      <c r="F13" s="34">
        <v>119.678</v>
      </c>
      <c r="G13" s="34">
        <v>786.53999999999985</v>
      </c>
      <c r="H13" s="34">
        <v>739.43000000000006</v>
      </c>
      <c r="I13" s="34">
        <v>461.31999999999994</v>
      </c>
      <c r="J13" s="34">
        <v>122.25</v>
      </c>
      <c r="K13" s="34">
        <v>470.75</v>
      </c>
      <c r="L13" s="34">
        <v>5.78</v>
      </c>
      <c r="M13" s="34">
        <v>20.1065</v>
      </c>
      <c r="N13" s="34">
        <v>0.152</v>
      </c>
      <c r="O13" s="34">
        <v>0.13300000000000001</v>
      </c>
      <c r="P13" s="34">
        <v>3.1060000000000003</v>
      </c>
      <c r="Q13" s="34">
        <v>81.040000000000006</v>
      </c>
      <c r="R13" s="57">
        <f>SUM(R7:R12)</f>
        <v>67.37</v>
      </c>
    </row>
    <row r="14" spans="1:18" ht="16.5" customHeight="1" x14ac:dyDescent="0.2">
      <c r="A14" s="17"/>
      <c r="B14" s="17"/>
      <c r="C14" s="16"/>
      <c r="D14" s="26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54"/>
      <c r="Q14" s="34"/>
      <c r="R14" s="52"/>
    </row>
    <row r="15" spans="1:18" ht="16.5" customHeight="1" x14ac:dyDescent="0.2">
      <c r="A15" s="6"/>
      <c r="B15" s="17" t="s">
        <v>74</v>
      </c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8"/>
      <c r="Q15" s="16"/>
      <c r="R15" s="16"/>
    </row>
    <row r="16" spans="1:18" ht="16.5" customHeight="1" x14ac:dyDescent="0.2">
      <c r="A16" s="6"/>
      <c r="B16" s="17" t="s">
        <v>0</v>
      </c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8"/>
      <c r="Q16" s="16"/>
      <c r="R16" s="16"/>
    </row>
    <row r="17" spans="1:19" ht="26.25" customHeight="1" x14ac:dyDescent="0.2">
      <c r="A17" s="9" t="s">
        <v>40</v>
      </c>
      <c r="B17" s="22" t="s">
        <v>41</v>
      </c>
      <c r="C17" s="41" t="s">
        <v>169</v>
      </c>
      <c r="D17" s="24">
        <v>26.430199999999999</v>
      </c>
      <c r="E17" s="24">
        <v>19.137999999999998</v>
      </c>
      <c r="F17" s="24">
        <v>63.904799999999994</v>
      </c>
      <c r="G17" s="24">
        <v>534.73299999999995</v>
      </c>
      <c r="H17" s="24">
        <v>458.65200000000004</v>
      </c>
      <c r="I17" s="24">
        <v>449.63199999999995</v>
      </c>
      <c r="J17" s="24">
        <v>58.134</v>
      </c>
      <c r="K17" s="24">
        <v>454.83999999999992</v>
      </c>
      <c r="L17" s="24">
        <v>0.82400000000000007</v>
      </c>
      <c r="M17" s="24">
        <v>18.923999999999999</v>
      </c>
      <c r="N17" s="24">
        <v>0</v>
      </c>
      <c r="O17" s="24">
        <v>0.39</v>
      </c>
      <c r="P17" s="24">
        <v>7.392E-2</v>
      </c>
      <c r="Q17" s="24">
        <v>0</v>
      </c>
      <c r="R17" s="16">
        <v>84.23</v>
      </c>
    </row>
    <row r="18" spans="1:19" ht="16.5" customHeight="1" x14ac:dyDescent="0.2">
      <c r="A18" s="136" t="s">
        <v>37</v>
      </c>
      <c r="B18" s="140" t="s">
        <v>38</v>
      </c>
      <c r="C18" s="140">
        <v>200</v>
      </c>
      <c r="D18" s="24">
        <v>3.7719999999999998</v>
      </c>
      <c r="E18" s="24">
        <v>3.8000000000000003</v>
      </c>
      <c r="F18" s="24">
        <v>25.068000000000001</v>
      </c>
      <c r="G18" s="24">
        <v>145.36000000000001</v>
      </c>
      <c r="H18" s="24">
        <v>206.96</v>
      </c>
      <c r="I18" s="24">
        <v>125.52000000000001</v>
      </c>
      <c r="J18" s="24">
        <v>31</v>
      </c>
      <c r="K18" s="24">
        <v>116.2</v>
      </c>
      <c r="L18" s="24">
        <v>0.98</v>
      </c>
      <c r="M18" s="24">
        <v>22.12</v>
      </c>
      <c r="N18" s="24">
        <v>4.3999999999999997E-2</v>
      </c>
      <c r="O18" s="24">
        <v>0.158</v>
      </c>
      <c r="P18" s="24">
        <v>0.17200000000000001</v>
      </c>
      <c r="Q18" s="24">
        <v>1.3</v>
      </c>
      <c r="R18" s="24">
        <v>13.47</v>
      </c>
    </row>
    <row r="19" spans="1:19" ht="17.25" customHeight="1" x14ac:dyDescent="0.2">
      <c r="A19" s="40" t="s">
        <v>11</v>
      </c>
      <c r="B19" s="22" t="s">
        <v>150</v>
      </c>
      <c r="C19" s="22">
        <v>50</v>
      </c>
      <c r="D19" s="16">
        <v>3.85</v>
      </c>
      <c r="E19" s="16">
        <v>5.5</v>
      </c>
      <c r="F19" s="16">
        <v>24.9</v>
      </c>
      <c r="G19" s="16">
        <v>131</v>
      </c>
      <c r="H19" s="16">
        <v>63.5</v>
      </c>
      <c r="I19" s="16">
        <v>13</v>
      </c>
      <c r="J19" s="16">
        <v>17.5</v>
      </c>
      <c r="K19" s="16">
        <v>41.5</v>
      </c>
      <c r="L19" s="16">
        <v>0.8</v>
      </c>
      <c r="M19" s="16">
        <v>0</v>
      </c>
      <c r="N19" s="16">
        <v>0.08</v>
      </c>
      <c r="O19" s="16">
        <v>0.04</v>
      </c>
      <c r="P19" s="18">
        <v>0.77</v>
      </c>
      <c r="Q19" s="16">
        <v>0</v>
      </c>
      <c r="R19" s="24">
        <v>2.5</v>
      </c>
      <c r="S19" s="58"/>
    </row>
    <row r="20" spans="1:19" s="3" customFormat="1" ht="17.25" customHeight="1" x14ac:dyDescent="0.2">
      <c r="A20" s="16" t="s">
        <v>98</v>
      </c>
      <c r="B20" s="22" t="s">
        <v>99</v>
      </c>
      <c r="C20" s="22">
        <v>50</v>
      </c>
      <c r="D20" s="16">
        <v>3.3</v>
      </c>
      <c r="E20" s="16">
        <v>0.6</v>
      </c>
      <c r="F20" s="16">
        <v>17.100000000000001</v>
      </c>
      <c r="G20" s="16">
        <v>90.5</v>
      </c>
      <c r="H20" s="16">
        <v>47</v>
      </c>
      <c r="I20" s="16">
        <v>17</v>
      </c>
      <c r="J20" s="16">
        <v>20.5</v>
      </c>
      <c r="K20" s="16">
        <v>60</v>
      </c>
      <c r="L20" s="16">
        <v>1.1499999999999999</v>
      </c>
      <c r="M20" s="16">
        <v>0</v>
      </c>
      <c r="N20" s="16">
        <v>0</v>
      </c>
      <c r="O20" s="16">
        <v>0</v>
      </c>
      <c r="P20" s="18">
        <v>0</v>
      </c>
      <c r="Q20" s="16">
        <v>0</v>
      </c>
      <c r="R20" s="24">
        <v>3</v>
      </c>
      <c r="S20" s="59"/>
    </row>
    <row r="21" spans="1:19" ht="25.5" customHeight="1" x14ac:dyDescent="0.2">
      <c r="A21" s="141" t="s">
        <v>11</v>
      </c>
      <c r="B21" s="142" t="s">
        <v>154</v>
      </c>
      <c r="C21" s="143" t="s">
        <v>153</v>
      </c>
      <c r="D21" s="144">
        <v>0.72</v>
      </c>
      <c r="E21" s="144">
        <v>0.72</v>
      </c>
      <c r="F21" s="144">
        <v>17.64</v>
      </c>
      <c r="G21" s="144">
        <v>84.6</v>
      </c>
      <c r="H21" s="144">
        <v>500.4</v>
      </c>
      <c r="I21" s="144">
        <v>28.8</v>
      </c>
      <c r="J21" s="144">
        <v>16.2</v>
      </c>
      <c r="K21" s="144">
        <v>19.8</v>
      </c>
      <c r="L21" s="144">
        <v>3.9600000000000004</v>
      </c>
      <c r="M21" s="144">
        <v>10</v>
      </c>
      <c r="N21" s="144">
        <v>0</v>
      </c>
      <c r="O21" s="144">
        <v>0.04</v>
      </c>
      <c r="P21" s="145">
        <v>0</v>
      </c>
      <c r="Q21" s="144">
        <v>18</v>
      </c>
      <c r="R21" s="24">
        <v>14.4</v>
      </c>
    </row>
    <row r="22" spans="1:19" ht="16.5" customHeight="1" x14ac:dyDescent="0.2">
      <c r="A22" s="177" t="s">
        <v>12</v>
      </c>
      <c r="B22" s="178"/>
      <c r="C22" s="4">
        <v>680</v>
      </c>
      <c r="D22" s="47">
        <v>38.072199999999995</v>
      </c>
      <c r="E22" s="47">
        <v>29.757999999999999</v>
      </c>
      <c r="F22" s="47">
        <v>148.61279999999999</v>
      </c>
      <c r="G22" s="47">
        <v>986.19299999999998</v>
      </c>
      <c r="H22" s="47">
        <v>1276.5120000000002</v>
      </c>
      <c r="I22" s="47">
        <v>633.95199999999988</v>
      </c>
      <c r="J22" s="47">
        <v>143.334</v>
      </c>
      <c r="K22" s="47">
        <v>692.33999999999992</v>
      </c>
      <c r="L22" s="47">
        <v>7.7140000000000004</v>
      </c>
      <c r="M22" s="47">
        <v>51.043999999999997</v>
      </c>
      <c r="N22" s="47">
        <v>0.124</v>
      </c>
      <c r="O22" s="47">
        <v>0.62800000000000011</v>
      </c>
      <c r="P22" s="47">
        <v>1.0159199999999999</v>
      </c>
      <c r="Q22" s="47">
        <v>19.3</v>
      </c>
      <c r="R22" s="57">
        <f>SUM(R17:R21)</f>
        <v>117.60000000000001</v>
      </c>
    </row>
    <row r="23" spans="1:19" ht="16.5" customHeight="1" x14ac:dyDescent="0.2">
      <c r="A23" s="17"/>
      <c r="B23" s="17"/>
      <c r="C23" s="16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8"/>
      <c r="Q23" s="47"/>
      <c r="R23" s="55"/>
    </row>
    <row r="24" spans="1:19" ht="16.5" customHeight="1" x14ac:dyDescent="0.2">
      <c r="A24" s="6"/>
      <c r="B24" s="17" t="s">
        <v>77</v>
      </c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  <c r="Q24" s="16"/>
      <c r="R24" s="16"/>
    </row>
    <row r="25" spans="1:19" ht="16.5" customHeight="1" x14ac:dyDescent="0.2">
      <c r="A25" s="6"/>
      <c r="B25" s="17" t="s">
        <v>76</v>
      </c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  <c r="Q25" s="16"/>
      <c r="R25" s="16"/>
    </row>
    <row r="26" spans="1:19" ht="33" customHeight="1" x14ac:dyDescent="0.2">
      <c r="A26" s="9" t="s">
        <v>112</v>
      </c>
      <c r="B26" s="22" t="s">
        <v>113</v>
      </c>
      <c r="C26" s="23" t="s">
        <v>155</v>
      </c>
      <c r="D26" s="24">
        <v>29.207500000000007</v>
      </c>
      <c r="E26" s="24">
        <v>26.980499999999999</v>
      </c>
      <c r="F26" s="24">
        <v>23.279900000000005</v>
      </c>
      <c r="G26" s="24">
        <v>454.24939999999998</v>
      </c>
      <c r="H26" s="24">
        <v>1079.865</v>
      </c>
      <c r="I26" s="24">
        <v>43.219000000000001</v>
      </c>
      <c r="J26" s="24">
        <v>64.668000000000006</v>
      </c>
      <c r="K26" s="24">
        <v>263.99299999999999</v>
      </c>
      <c r="L26" s="24">
        <v>3.8813999999999997</v>
      </c>
      <c r="M26" s="24">
        <v>552.96</v>
      </c>
      <c r="N26" s="24">
        <v>0.13198000000000001</v>
      </c>
      <c r="O26" s="24">
        <v>0.25363000000000002</v>
      </c>
      <c r="P26" s="49">
        <v>11.43862</v>
      </c>
      <c r="Q26" s="24">
        <v>27.28</v>
      </c>
      <c r="R26" s="16">
        <v>44.21</v>
      </c>
    </row>
    <row r="27" spans="1:19" ht="30.75" customHeight="1" x14ac:dyDescent="0.2">
      <c r="A27" s="40" t="s">
        <v>49</v>
      </c>
      <c r="B27" s="22" t="s">
        <v>147</v>
      </c>
      <c r="C27" s="41" t="s">
        <v>151</v>
      </c>
      <c r="D27" s="24">
        <v>5.76</v>
      </c>
      <c r="E27" s="24">
        <v>8.85</v>
      </c>
      <c r="F27" s="24">
        <v>14.9</v>
      </c>
      <c r="G27" s="24">
        <v>165.7</v>
      </c>
      <c r="H27" s="24">
        <v>58.75</v>
      </c>
      <c r="I27" s="24">
        <v>164.9</v>
      </c>
      <c r="J27" s="24">
        <v>10.65</v>
      </c>
      <c r="K27" s="24">
        <v>107.44999999999999</v>
      </c>
      <c r="L27" s="24">
        <v>0.49</v>
      </c>
      <c r="M27" s="24">
        <v>5.6500000000000002E-2</v>
      </c>
      <c r="N27" s="24">
        <v>0</v>
      </c>
      <c r="O27" s="24">
        <v>5.7000000000000002E-2</v>
      </c>
      <c r="P27" s="24">
        <v>0.52200000000000002</v>
      </c>
      <c r="Q27" s="24">
        <v>0.42</v>
      </c>
      <c r="R27" s="16">
        <v>17.34</v>
      </c>
    </row>
    <row r="28" spans="1:19" ht="21" customHeight="1" x14ac:dyDescent="0.2">
      <c r="A28" s="140" t="s">
        <v>93</v>
      </c>
      <c r="B28" s="142" t="s">
        <v>94</v>
      </c>
      <c r="C28" s="22">
        <v>200</v>
      </c>
      <c r="D28" s="16">
        <v>0.44</v>
      </c>
      <c r="E28" s="16">
        <v>0</v>
      </c>
      <c r="F28" s="16">
        <v>31.76</v>
      </c>
      <c r="G28" s="16">
        <v>126.4</v>
      </c>
      <c r="H28" s="16">
        <v>0.6</v>
      </c>
      <c r="I28" s="16">
        <v>0.60000000000000009</v>
      </c>
      <c r="J28" s="16">
        <v>0</v>
      </c>
      <c r="K28" s="16">
        <v>0</v>
      </c>
      <c r="L28" s="16">
        <v>0.03</v>
      </c>
      <c r="M28" s="16">
        <v>0</v>
      </c>
      <c r="N28" s="16">
        <v>0</v>
      </c>
      <c r="O28" s="16">
        <v>0</v>
      </c>
      <c r="P28" s="18">
        <v>0</v>
      </c>
      <c r="Q28" s="16">
        <v>0.24000000000000002</v>
      </c>
      <c r="R28" s="24">
        <v>6.78</v>
      </c>
    </row>
    <row r="29" spans="1:19" ht="21" customHeight="1" x14ac:dyDescent="0.2">
      <c r="A29" s="9" t="s">
        <v>11</v>
      </c>
      <c r="B29" s="70" t="s">
        <v>150</v>
      </c>
      <c r="C29" s="23">
        <v>20</v>
      </c>
      <c r="D29" s="16">
        <v>1.54</v>
      </c>
      <c r="E29" s="16">
        <v>1.6</v>
      </c>
      <c r="F29" s="16">
        <v>9.9600000000000009</v>
      </c>
      <c r="G29" s="16">
        <v>52.4</v>
      </c>
      <c r="H29" s="16">
        <v>25.4</v>
      </c>
      <c r="I29" s="16">
        <v>5.2</v>
      </c>
      <c r="J29" s="16">
        <v>7</v>
      </c>
      <c r="K29" s="16">
        <v>16.600000000000001</v>
      </c>
      <c r="L29" s="16">
        <v>0.32</v>
      </c>
      <c r="M29" s="16">
        <v>0</v>
      </c>
      <c r="N29" s="16">
        <v>3.2000000000000001E-2</v>
      </c>
      <c r="O29" s="16">
        <v>1.6E-2</v>
      </c>
      <c r="P29" s="18">
        <v>0.308</v>
      </c>
      <c r="Q29" s="16">
        <v>0</v>
      </c>
      <c r="R29" s="24">
        <v>1</v>
      </c>
    </row>
    <row r="30" spans="1:19" ht="21" customHeight="1" x14ac:dyDescent="0.2">
      <c r="A30" s="9" t="s">
        <v>98</v>
      </c>
      <c r="B30" s="22" t="s">
        <v>99</v>
      </c>
      <c r="C30" s="22">
        <v>50</v>
      </c>
      <c r="D30" s="16">
        <v>3.3</v>
      </c>
      <c r="E30" s="16">
        <v>0.6</v>
      </c>
      <c r="F30" s="16">
        <v>17.100000000000001</v>
      </c>
      <c r="G30" s="16">
        <v>90.5</v>
      </c>
      <c r="H30" s="16">
        <v>47</v>
      </c>
      <c r="I30" s="16">
        <v>17</v>
      </c>
      <c r="J30" s="16">
        <v>20.5</v>
      </c>
      <c r="K30" s="16">
        <v>60</v>
      </c>
      <c r="L30" s="16">
        <v>1.1499999999999999</v>
      </c>
      <c r="M30" s="16">
        <v>0</v>
      </c>
      <c r="N30" s="16">
        <v>0</v>
      </c>
      <c r="O30" s="16">
        <v>0</v>
      </c>
      <c r="P30" s="18">
        <v>0</v>
      </c>
      <c r="Q30" s="16">
        <v>0</v>
      </c>
      <c r="R30" s="24">
        <v>3</v>
      </c>
    </row>
    <row r="31" spans="1:19" ht="21" customHeight="1" x14ac:dyDescent="0.2">
      <c r="A31" s="146" t="s">
        <v>104</v>
      </c>
      <c r="B31" s="147" t="s">
        <v>160</v>
      </c>
      <c r="C31" s="41">
        <v>60</v>
      </c>
      <c r="D31" s="16">
        <v>0.48</v>
      </c>
      <c r="E31" s="16">
        <v>0.06</v>
      </c>
      <c r="F31" s="16">
        <v>1.5</v>
      </c>
      <c r="G31" s="16">
        <v>8.4</v>
      </c>
      <c r="H31" s="16">
        <v>84.6</v>
      </c>
      <c r="I31" s="16">
        <v>13.8</v>
      </c>
      <c r="J31" s="16">
        <v>8.4</v>
      </c>
      <c r="K31" s="16">
        <v>25.2</v>
      </c>
      <c r="L31" s="16">
        <v>0.36</v>
      </c>
      <c r="M31" s="16">
        <v>6</v>
      </c>
      <c r="N31" s="16">
        <v>1.7999999999999999E-2</v>
      </c>
      <c r="O31" s="16">
        <v>2.4E-2</v>
      </c>
      <c r="P31" s="18">
        <v>0.12</v>
      </c>
      <c r="Q31" s="16">
        <v>6</v>
      </c>
      <c r="R31" s="16">
        <v>3.18</v>
      </c>
    </row>
    <row r="32" spans="1:19" ht="28.5" customHeight="1" x14ac:dyDescent="0.2">
      <c r="A32" s="9" t="s">
        <v>11</v>
      </c>
      <c r="B32" s="22" t="s">
        <v>152</v>
      </c>
      <c r="C32" s="23" t="s">
        <v>153</v>
      </c>
      <c r="D32" s="16">
        <v>1.6</v>
      </c>
      <c r="E32" s="16">
        <v>0.4</v>
      </c>
      <c r="F32" s="16">
        <v>15</v>
      </c>
      <c r="G32" s="16">
        <v>76</v>
      </c>
      <c r="H32" s="16">
        <v>310</v>
      </c>
      <c r="I32" s="16">
        <v>70</v>
      </c>
      <c r="J32" s="16">
        <v>22</v>
      </c>
      <c r="K32" s="16">
        <v>34</v>
      </c>
      <c r="L32" s="16">
        <v>0.2</v>
      </c>
      <c r="M32" s="16">
        <v>20</v>
      </c>
      <c r="N32" s="16">
        <v>0.12</v>
      </c>
      <c r="O32" s="16">
        <v>0.06</v>
      </c>
      <c r="P32" s="18">
        <v>0.6</v>
      </c>
      <c r="Q32" s="16">
        <v>76</v>
      </c>
      <c r="R32" s="24">
        <v>19.8</v>
      </c>
    </row>
    <row r="33" spans="1:18" ht="16.5" customHeight="1" x14ac:dyDescent="0.2">
      <c r="A33" s="177" t="s">
        <v>12</v>
      </c>
      <c r="B33" s="178"/>
      <c r="C33" s="4">
        <v>830</v>
      </c>
      <c r="D33" s="47">
        <v>42.327500000000001</v>
      </c>
      <c r="E33" s="47">
        <v>38.490500000000004</v>
      </c>
      <c r="F33" s="47">
        <v>113.4999</v>
      </c>
      <c r="G33" s="47">
        <v>973.6493999999999</v>
      </c>
      <c r="H33" s="47">
        <v>1606.2149999999999</v>
      </c>
      <c r="I33" s="47">
        <v>314.71899999999999</v>
      </c>
      <c r="J33" s="47">
        <v>133.21800000000002</v>
      </c>
      <c r="K33" s="47">
        <v>507.24299999999999</v>
      </c>
      <c r="L33" s="47">
        <v>6.4314</v>
      </c>
      <c r="M33" s="47">
        <v>579.01650000000006</v>
      </c>
      <c r="N33" s="47">
        <v>0.30198000000000003</v>
      </c>
      <c r="O33" s="47">
        <v>0.41063000000000005</v>
      </c>
      <c r="P33" s="47">
        <v>12.988619999999999</v>
      </c>
      <c r="Q33" s="47">
        <v>109.94</v>
      </c>
      <c r="R33" s="57">
        <f>SUM(R26:R32)</f>
        <v>95.31</v>
      </c>
    </row>
    <row r="34" spans="1:18" ht="16.5" customHeight="1" x14ac:dyDescent="0.2">
      <c r="A34" s="17"/>
      <c r="B34" s="17"/>
      <c r="C34" s="4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8"/>
      <c r="Q34" s="47"/>
      <c r="R34" s="55"/>
    </row>
    <row r="35" spans="1:18" ht="16.5" customHeight="1" x14ac:dyDescent="0.2">
      <c r="A35" s="6"/>
      <c r="B35" s="17" t="s">
        <v>78</v>
      </c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8"/>
      <c r="Q35" s="16"/>
      <c r="R35" s="16"/>
    </row>
    <row r="36" spans="1:18" ht="16.5" customHeight="1" x14ac:dyDescent="0.2">
      <c r="A36" s="6"/>
      <c r="B36" s="17" t="s">
        <v>0</v>
      </c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8"/>
      <c r="Q36" s="16"/>
      <c r="R36" s="16"/>
    </row>
    <row r="37" spans="1:18" ht="28.5" customHeight="1" x14ac:dyDescent="0.2">
      <c r="A37" s="140" t="s">
        <v>90</v>
      </c>
      <c r="B37" s="142" t="s">
        <v>156</v>
      </c>
      <c r="C37" s="23" t="s">
        <v>157</v>
      </c>
      <c r="D37" s="24">
        <v>19.747000000000003</v>
      </c>
      <c r="E37" s="24">
        <v>6.0660000000000007</v>
      </c>
      <c r="F37" s="24">
        <v>7.3380000000000001</v>
      </c>
      <c r="G37" s="24">
        <v>164.72</v>
      </c>
      <c r="H37" s="24">
        <v>631.25</v>
      </c>
      <c r="I37" s="24">
        <v>71.09</v>
      </c>
      <c r="J37" s="24">
        <v>80.510000000000005</v>
      </c>
      <c r="K37" s="24">
        <v>312.12000000000006</v>
      </c>
      <c r="L37" s="24">
        <v>1.492</v>
      </c>
      <c r="M37" s="24">
        <v>2.92</v>
      </c>
      <c r="N37" s="24">
        <v>0.02</v>
      </c>
      <c r="O37" s="24">
        <v>0.02</v>
      </c>
      <c r="P37" s="24">
        <v>1.8970000000000002</v>
      </c>
      <c r="Q37" s="24">
        <v>4.95</v>
      </c>
      <c r="R37" s="16">
        <v>47.03</v>
      </c>
    </row>
    <row r="38" spans="1:18" ht="31.5" customHeight="1" x14ac:dyDescent="0.2">
      <c r="A38" s="9" t="s">
        <v>29</v>
      </c>
      <c r="B38" s="22" t="s">
        <v>158</v>
      </c>
      <c r="C38" s="23">
        <v>180</v>
      </c>
      <c r="D38" s="24">
        <v>3.8919999999999999</v>
      </c>
      <c r="E38" s="24">
        <v>6.5549999999999997</v>
      </c>
      <c r="F38" s="24">
        <v>26.462000000000003</v>
      </c>
      <c r="G38" s="24">
        <v>180.51</v>
      </c>
      <c r="H38" s="24">
        <v>915.75</v>
      </c>
      <c r="I38" s="24">
        <v>49.34</v>
      </c>
      <c r="J38" s="24">
        <v>39.410000000000004</v>
      </c>
      <c r="K38" s="24">
        <v>114.94999999999999</v>
      </c>
      <c r="L38" s="24">
        <v>1.4</v>
      </c>
      <c r="M38" s="24">
        <v>3.5000000000000003E-2</v>
      </c>
      <c r="N38" s="24">
        <v>0</v>
      </c>
      <c r="O38" s="24">
        <v>0</v>
      </c>
      <c r="P38" s="49">
        <v>2.0020000000000002</v>
      </c>
      <c r="Q38" s="24">
        <v>31.151</v>
      </c>
      <c r="R38" s="16">
        <v>15.04</v>
      </c>
    </row>
    <row r="39" spans="1:18" ht="46.5" customHeight="1" x14ac:dyDescent="0.2">
      <c r="A39" s="146" t="s">
        <v>50</v>
      </c>
      <c r="B39" s="147" t="s">
        <v>159</v>
      </c>
      <c r="C39" s="41" t="s">
        <v>61</v>
      </c>
      <c r="D39" s="16">
        <v>1</v>
      </c>
      <c r="E39" s="16">
        <v>0.2</v>
      </c>
      <c r="F39" s="16">
        <v>20.2</v>
      </c>
      <c r="G39" s="16">
        <v>92</v>
      </c>
      <c r="H39" s="16">
        <v>240</v>
      </c>
      <c r="I39" s="16">
        <v>14</v>
      </c>
      <c r="J39" s="16">
        <v>8</v>
      </c>
      <c r="K39" s="16">
        <v>14</v>
      </c>
      <c r="L39" s="16">
        <v>2.8</v>
      </c>
      <c r="M39" s="16">
        <v>0</v>
      </c>
      <c r="N39" s="16">
        <v>0</v>
      </c>
      <c r="O39" s="16">
        <v>0</v>
      </c>
      <c r="P39" s="18">
        <v>0.4</v>
      </c>
      <c r="Q39" s="16">
        <v>4</v>
      </c>
      <c r="R39" s="16">
        <v>22</v>
      </c>
    </row>
    <row r="40" spans="1:18" ht="21.75" customHeight="1" x14ac:dyDescent="0.2">
      <c r="A40" s="146" t="s">
        <v>104</v>
      </c>
      <c r="B40" s="147" t="s">
        <v>160</v>
      </c>
      <c r="C40" s="41">
        <v>60</v>
      </c>
      <c r="D40" s="16">
        <v>0.48</v>
      </c>
      <c r="E40" s="16">
        <v>0.06</v>
      </c>
      <c r="F40" s="16">
        <v>1.5</v>
      </c>
      <c r="G40" s="16">
        <v>8.4</v>
      </c>
      <c r="H40" s="16">
        <v>84.6</v>
      </c>
      <c r="I40" s="16">
        <v>13.8</v>
      </c>
      <c r="J40" s="16">
        <v>8.4</v>
      </c>
      <c r="K40" s="16">
        <v>25.2</v>
      </c>
      <c r="L40" s="16">
        <v>0.36</v>
      </c>
      <c r="M40" s="16">
        <v>6</v>
      </c>
      <c r="N40" s="16">
        <v>1.7999999999999999E-2</v>
      </c>
      <c r="O40" s="16">
        <v>2.4E-2</v>
      </c>
      <c r="P40" s="18">
        <v>0.12</v>
      </c>
      <c r="Q40" s="16">
        <v>6</v>
      </c>
      <c r="R40" s="16">
        <v>3.18</v>
      </c>
    </row>
    <row r="41" spans="1:18" ht="24" customHeight="1" x14ac:dyDescent="0.2">
      <c r="A41" s="40" t="s">
        <v>11</v>
      </c>
      <c r="B41" s="22" t="s">
        <v>150</v>
      </c>
      <c r="C41" s="22">
        <v>50</v>
      </c>
      <c r="D41" s="16">
        <v>3.85</v>
      </c>
      <c r="E41" s="16">
        <v>5.5</v>
      </c>
      <c r="F41" s="16">
        <v>24.9</v>
      </c>
      <c r="G41" s="16">
        <v>131</v>
      </c>
      <c r="H41" s="16">
        <v>63.5</v>
      </c>
      <c r="I41" s="16">
        <v>13</v>
      </c>
      <c r="J41" s="16">
        <v>17.5</v>
      </c>
      <c r="K41" s="16">
        <v>41.5</v>
      </c>
      <c r="L41" s="16">
        <v>0.8</v>
      </c>
      <c r="M41" s="16">
        <v>0</v>
      </c>
      <c r="N41" s="16">
        <v>0.08</v>
      </c>
      <c r="O41" s="16">
        <v>0.04</v>
      </c>
      <c r="P41" s="18">
        <v>0.77</v>
      </c>
      <c r="Q41" s="16">
        <v>0</v>
      </c>
      <c r="R41" s="16">
        <v>2.5</v>
      </c>
    </row>
    <row r="42" spans="1:18" ht="16.5" customHeight="1" x14ac:dyDescent="0.2">
      <c r="A42" s="16" t="s">
        <v>98</v>
      </c>
      <c r="B42" s="22" t="s">
        <v>99</v>
      </c>
      <c r="C42" s="22">
        <v>50</v>
      </c>
      <c r="D42" s="16">
        <v>3.3</v>
      </c>
      <c r="E42" s="16">
        <v>0.6</v>
      </c>
      <c r="F42" s="16">
        <v>17.100000000000001</v>
      </c>
      <c r="G42" s="16">
        <v>90.5</v>
      </c>
      <c r="H42" s="16">
        <v>47</v>
      </c>
      <c r="I42" s="16">
        <v>17</v>
      </c>
      <c r="J42" s="16">
        <v>20.5</v>
      </c>
      <c r="K42" s="16">
        <v>60</v>
      </c>
      <c r="L42" s="16">
        <v>1.1499999999999999</v>
      </c>
      <c r="M42" s="16">
        <v>0</v>
      </c>
      <c r="N42" s="16">
        <v>0</v>
      </c>
      <c r="O42" s="16">
        <v>0</v>
      </c>
      <c r="P42" s="18">
        <v>0</v>
      </c>
      <c r="Q42" s="16">
        <v>0</v>
      </c>
      <c r="R42" s="24">
        <v>3</v>
      </c>
    </row>
    <row r="43" spans="1:18" ht="27.75" customHeight="1" x14ac:dyDescent="0.2">
      <c r="A43" s="141" t="s">
        <v>11</v>
      </c>
      <c r="B43" s="142" t="s">
        <v>154</v>
      </c>
      <c r="C43" s="157" t="s">
        <v>153</v>
      </c>
      <c r="D43" s="41">
        <v>0.72</v>
      </c>
      <c r="E43" s="41">
        <v>0.72</v>
      </c>
      <c r="F43" s="41">
        <v>17.64</v>
      </c>
      <c r="G43" s="41">
        <v>84.6</v>
      </c>
      <c r="H43" s="41">
        <v>500.4</v>
      </c>
      <c r="I43" s="41">
        <v>28.8</v>
      </c>
      <c r="J43" s="41">
        <v>16.2</v>
      </c>
      <c r="K43" s="41">
        <v>19.8</v>
      </c>
      <c r="L43" s="41">
        <v>3.9600000000000004</v>
      </c>
      <c r="M43" s="41">
        <v>10</v>
      </c>
      <c r="N43" s="41">
        <v>0</v>
      </c>
      <c r="O43" s="41">
        <v>0.04</v>
      </c>
      <c r="P43" s="152">
        <v>0</v>
      </c>
      <c r="Q43" s="41">
        <v>18</v>
      </c>
      <c r="R43" s="24">
        <v>14.4</v>
      </c>
    </row>
    <row r="44" spans="1:18" ht="16.5" customHeight="1" x14ac:dyDescent="0.2">
      <c r="A44" s="177" t="s">
        <v>12</v>
      </c>
      <c r="B44" s="178"/>
      <c r="C44" s="4">
        <v>860</v>
      </c>
      <c r="D44" s="47">
        <v>32.989000000000004</v>
      </c>
      <c r="E44" s="47">
        <v>19.701000000000001</v>
      </c>
      <c r="F44" s="47">
        <v>115.13999999999999</v>
      </c>
      <c r="G44" s="47">
        <v>751.73</v>
      </c>
      <c r="H44" s="47">
        <v>2482.5</v>
      </c>
      <c r="I44" s="47">
        <v>207.03000000000003</v>
      </c>
      <c r="J44" s="47">
        <v>190.52</v>
      </c>
      <c r="K44" s="47">
        <v>587.57000000000005</v>
      </c>
      <c r="L44" s="47">
        <v>11.962000000000002</v>
      </c>
      <c r="M44" s="47">
        <v>18.954999999999998</v>
      </c>
      <c r="N44" s="47">
        <v>0.11799999999999999</v>
      </c>
      <c r="O44" s="47">
        <v>0.124</v>
      </c>
      <c r="P44" s="47">
        <v>5.1890000000000001</v>
      </c>
      <c r="Q44" s="47">
        <v>64.100999999999999</v>
      </c>
      <c r="R44" s="57">
        <f>SUM(R37:R43)</f>
        <v>107.15</v>
      </c>
    </row>
    <row r="45" spans="1:18" ht="16.5" customHeight="1" x14ac:dyDescent="0.2">
      <c r="A45" s="17"/>
      <c r="B45" s="17"/>
      <c r="C45" s="4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8"/>
      <c r="Q45" s="47"/>
      <c r="R45" s="53"/>
    </row>
    <row r="46" spans="1:18" ht="16.5" customHeight="1" x14ac:dyDescent="0.2">
      <c r="A46" s="6"/>
      <c r="B46" s="17" t="s">
        <v>79</v>
      </c>
      <c r="C46" s="17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8"/>
      <c r="Q46" s="16"/>
      <c r="R46" s="16"/>
    </row>
    <row r="47" spans="1:18" ht="16.5" customHeight="1" x14ac:dyDescent="0.2">
      <c r="A47" s="6"/>
      <c r="B47" s="17" t="s">
        <v>0</v>
      </c>
      <c r="C47" s="17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8"/>
      <c r="Q47" s="16"/>
      <c r="R47" s="16"/>
    </row>
    <row r="48" spans="1:18" ht="24" customHeight="1" x14ac:dyDescent="0.2">
      <c r="A48" s="9" t="s">
        <v>119</v>
      </c>
      <c r="B48" s="22" t="s">
        <v>123</v>
      </c>
      <c r="C48" s="23" t="s">
        <v>161</v>
      </c>
      <c r="D48" s="24">
        <v>8.3216000000000001</v>
      </c>
      <c r="E48" s="24">
        <v>12.2912</v>
      </c>
      <c r="F48" s="24">
        <v>56.423999999999999</v>
      </c>
      <c r="G48" s="24">
        <v>370.69599999999997</v>
      </c>
      <c r="H48" s="24">
        <v>92.64</v>
      </c>
      <c r="I48" s="24">
        <v>17.84</v>
      </c>
      <c r="J48" s="24">
        <v>11.44</v>
      </c>
      <c r="K48" s="24">
        <v>72.559999999999988</v>
      </c>
      <c r="L48" s="24">
        <v>0.98399999999999999</v>
      </c>
      <c r="M48" s="24">
        <v>0.06</v>
      </c>
      <c r="N48" s="24">
        <v>5.6000000000000008E-3</v>
      </c>
      <c r="O48" s="24">
        <v>3.5200000000000002E-2</v>
      </c>
      <c r="P48" s="24">
        <v>1.6E-2</v>
      </c>
      <c r="Q48" s="24">
        <v>0</v>
      </c>
      <c r="R48" s="16">
        <v>17.45</v>
      </c>
    </row>
    <row r="49" spans="1:18" ht="32.25" customHeight="1" x14ac:dyDescent="0.2">
      <c r="A49" s="9" t="s">
        <v>49</v>
      </c>
      <c r="B49" s="22" t="s">
        <v>147</v>
      </c>
      <c r="C49" s="41" t="s">
        <v>151</v>
      </c>
      <c r="D49" s="24">
        <v>5.76</v>
      </c>
      <c r="E49" s="24">
        <v>8.85</v>
      </c>
      <c r="F49" s="24">
        <v>14.9</v>
      </c>
      <c r="G49" s="24">
        <v>165.7</v>
      </c>
      <c r="H49" s="24">
        <v>58.75</v>
      </c>
      <c r="I49" s="24">
        <v>164.9</v>
      </c>
      <c r="J49" s="24">
        <v>10.65</v>
      </c>
      <c r="K49" s="24">
        <v>107.44999999999999</v>
      </c>
      <c r="L49" s="24">
        <v>0.49</v>
      </c>
      <c r="M49" s="24">
        <v>5.6500000000000002E-2</v>
      </c>
      <c r="N49" s="24">
        <v>0</v>
      </c>
      <c r="O49" s="24">
        <v>5.7000000000000002E-2</v>
      </c>
      <c r="P49" s="49">
        <v>0.52200000000000002</v>
      </c>
      <c r="Q49" s="24">
        <v>0.42</v>
      </c>
      <c r="R49" s="16">
        <v>17.34</v>
      </c>
    </row>
    <row r="50" spans="1:18" ht="16.5" customHeight="1" x14ac:dyDescent="0.2">
      <c r="A50" s="140" t="s">
        <v>124</v>
      </c>
      <c r="B50" s="142" t="s">
        <v>125</v>
      </c>
      <c r="C50" s="142">
        <v>200</v>
      </c>
      <c r="D50" s="16">
        <v>3.55</v>
      </c>
      <c r="E50" s="16">
        <v>3.3800000000000003</v>
      </c>
      <c r="F50" s="16">
        <v>25.01</v>
      </c>
      <c r="G50" s="16">
        <v>139.73500000000001</v>
      </c>
      <c r="H50" s="16">
        <v>146.6</v>
      </c>
      <c r="I50" s="16">
        <v>125.4</v>
      </c>
      <c r="J50" s="16">
        <v>14</v>
      </c>
      <c r="K50" s="16">
        <v>102.5</v>
      </c>
      <c r="L50" s="16">
        <v>0.40500000000000003</v>
      </c>
      <c r="M50" s="16">
        <v>0.02</v>
      </c>
      <c r="N50" s="16">
        <v>0.04</v>
      </c>
      <c r="O50" s="16">
        <v>0.2</v>
      </c>
      <c r="P50" s="18">
        <v>1.3</v>
      </c>
      <c r="Q50" s="16">
        <v>1.3</v>
      </c>
      <c r="R50" s="24">
        <v>11.97</v>
      </c>
    </row>
    <row r="51" spans="1:18" ht="16.5" customHeight="1" x14ac:dyDescent="0.2">
      <c r="A51" s="9" t="s">
        <v>11</v>
      </c>
      <c r="B51" s="70" t="s">
        <v>150</v>
      </c>
      <c r="C51" s="23">
        <v>20</v>
      </c>
      <c r="D51" s="16">
        <v>1.54</v>
      </c>
      <c r="E51" s="16">
        <v>1.6</v>
      </c>
      <c r="F51" s="16">
        <v>9.9600000000000009</v>
      </c>
      <c r="G51" s="16">
        <v>52.4</v>
      </c>
      <c r="H51" s="16">
        <v>25.4</v>
      </c>
      <c r="I51" s="16">
        <v>5.2</v>
      </c>
      <c r="J51" s="16">
        <v>7</v>
      </c>
      <c r="K51" s="16">
        <v>16.600000000000001</v>
      </c>
      <c r="L51" s="16">
        <v>0.32</v>
      </c>
      <c r="M51" s="16">
        <v>0</v>
      </c>
      <c r="N51" s="16">
        <v>3.2000000000000001E-2</v>
      </c>
      <c r="O51" s="16">
        <v>1.6E-2</v>
      </c>
      <c r="P51" s="18">
        <v>0.308</v>
      </c>
      <c r="Q51" s="16">
        <v>0</v>
      </c>
      <c r="R51" s="24">
        <v>1</v>
      </c>
    </row>
    <row r="52" spans="1:18" ht="16.5" customHeight="1" x14ac:dyDescent="0.2">
      <c r="A52" s="9" t="s">
        <v>98</v>
      </c>
      <c r="B52" s="22" t="s">
        <v>99</v>
      </c>
      <c r="C52" s="22">
        <v>50</v>
      </c>
      <c r="D52" s="16">
        <v>3.3</v>
      </c>
      <c r="E52" s="16">
        <v>0.6</v>
      </c>
      <c r="F52" s="16">
        <v>17.100000000000001</v>
      </c>
      <c r="G52" s="16">
        <v>90.5</v>
      </c>
      <c r="H52" s="16">
        <v>47</v>
      </c>
      <c r="I52" s="16">
        <v>17</v>
      </c>
      <c r="J52" s="16">
        <v>20.5</v>
      </c>
      <c r="K52" s="16">
        <v>60</v>
      </c>
      <c r="L52" s="16">
        <v>1.1499999999999999</v>
      </c>
      <c r="M52" s="16">
        <v>0</v>
      </c>
      <c r="N52" s="16">
        <v>0</v>
      </c>
      <c r="O52" s="16">
        <v>0</v>
      </c>
      <c r="P52" s="18">
        <v>0</v>
      </c>
      <c r="Q52" s="16">
        <v>0</v>
      </c>
      <c r="R52" s="24">
        <v>3</v>
      </c>
    </row>
    <row r="53" spans="1:18" ht="39.75" customHeight="1" x14ac:dyDescent="0.2">
      <c r="A53" s="9" t="s">
        <v>11</v>
      </c>
      <c r="B53" s="22" t="s">
        <v>163</v>
      </c>
      <c r="C53" s="23" t="s">
        <v>162</v>
      </c>
      <c r="D53" s="16">
        <v>6.25</v>
      </c>
      <c r="E53" s="16">
        <v>4</v>
      </c>
      <c r="F53" s="16">
        <v>4.375</v>
      </c>
      <c r="G53" s="16">
        <v>85</v>
      </c>
      <c r="H53" s="16">
        <v>183.75</v>
      </c>
      <c r="I53" s="16">
        <v>152.5</v>
      </c>
      <c r="J53" s="16">
        <v>18.75</v>
      </c>
      <c r="K53" s="16">
        <v>120</v>
      </c>
      <c r="L53" s="16">
        <v>0.125</v>
      </c>
      <c r="M53" s="16">
        <v>2.5000000000000001E-2</v>
      </c>
      <c r="N53" s="16">
        <v>0.05</v>
      </c>
      <c r="O53" s="16">
        <v>0.25</v>
      </c>
      <c r="P53" s="18">
        <v>0.25</v>
      </c>
      <c r="Q53" s="16">
        <v>0.75</v>
      </c>
      <c r="R53" s="24">
        <v>29.5</v>
      </c>
    </row>
    <row r="54" spans="1:18" ht="29.25" customHeight="1" x14ac:dyDescent="0.2">
      <c r="A54" s="9" t="s">
        <v>11</v>
      </c>
      <c r="B54" s="22" t="s">
        <v>174</v>
      </c>
      <c r="C54" s="23" t="s">
        <v>175</v>
      </c>
      <c r="D54" s="16">
        <v>0.4</v>
      </c>
      <c r="E54" s="16">
        <v>0.05</v>
      </c>
      <c r="F54" s="16">
        <v>39.9</v>
      </c>
      <c r="G54" s="16">
        <v>162</v>
      </c>
      <c r="H54" s="16">
        <v>23</v>
      </c>
      <c r="I54" s="16">
        <v>12.5</v>
      </c>
      <c r="J54" s="16">
        <v>3</v>
      </c>
      <c r="K54" s="16">
        <v>6</v>
      </c>
      <c r="L54" s="16">
        <v>0.7</v>
      </c>
      <c r="M54" s="16">
        <v>0</v>
      </c>
      <c r="N54" s="16">
        <v>0</v>
      </c>
      <c r="O54" s="16">
        <v>0</v>
      </c>
      <c r="P54" s="18">
        <v>0.1</v>
      </c>
      <c r="Q54" s="16">
        <v>0</v>
      </c>
      <c r="R54" s="24">
        <v>23</v>
      </c>
    </row>
    <row r="55" spans="1:18" ht="16.5" customHeight="1" x14ac:dyDescent="0.2">
      <c r="A55" s="177" t="s">
        <v>12</v>
      </c>
      <c r="B55" s="178"/>
      <c r="C55" s="4">
        <v>703</v>
      </c>
      <c r="D55" s="47">
        <v>27.271600000000003</v>
      </c>
      <c r="E55" s="47">
        <v>29.7712</v>
      </c>
      <c r="F55" s="47">
        <v>169.79399999999998</v>
      </c>
      <c r="G55" s="47">
        <v>1077.231</v>
      </c>
      <c r="H55" s="47">
        <v>828.39</v>
      </c>
      <c r="I55" s="47">
        <v>357.84000000000003</v>
      </c>
      <c r="J55" s="47">
        <v>116.59</v>
      </c>
      <c r="K55" s="47">
        <v>400.11</v>
      </c>
      <c r="L55" s="47">
        <v>4.8490000000000002</v>
      </c>
      <c r="M55" s="47">
        <v>27.636499999999998</v>
      </c>
      <c r="N55" s="47">
        <v>7.7600000000000002E-2</v>
      </c>
      <c r="O55" s="47">
        <v>0.55820000000000003</v>
      </c>
      <c r="P55" s="47">
        <v>2.246</v>
      </c>
      <c r="Q55" s="47">
        <v>14.22</v>
      </c>
      <c r="R55" s="57">
        <f>R48+R49+R50+R51+R52+R53+R54</f>
        <v>103.25999999999999</v>
      </c>
    </row>
    <row r="56" spans="1:18" ht="16.5" customHeight="1" x14ac:dyDescent="0.2">
      <c r="A56" s="17"/>
      <c r="B56" s="17"/>
      <c r="C56" s="16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8"/>
      <c r="Q56" s="47"/>
      <c r="R56" s="52"/>
    </row>
    <row r="57" spans="1:18" ht="16.5" customHeight="1" x14ac:dyDescent="0.25">
      <c r="A57" s="185" t="s">
        <v>86</v>
      </c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7"/>
    </row>
    <row r="58" spans="1:18" ht="16.5" customHeight="1" x14ac:dyDescent="0.2">
      <c r="A58" s="9"/>
      <c r="B58" s="17" t="s">
        <v>80</v>
      </c>
      <c r="C58" s="38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8"/>
      <c r="Q58" s="16"/>
      <c r="R58" s="16"/>
    </row>
    <row r="59" spans="1:18" ht="16.5" customHeight="1" x14ac:dyDescent="0.2">
      <c r="A59" s="9"/>
      <c r="B59" s="17" t="s">
        <v>0</v>
      </c>
      <c r="C59" s="38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8"/>
      <c r="Q59" s="16"/>
      <c r="R59" s="16"/>
    </row>
    <row r="60" spans="1:18" ht="27.75" customHeight="1" x14ac:dyDescent="0.2">
      <c r="A60" s="9" t="s">
        <v>127</v>
      </c>
      <c r="B60" s="22" t="s">
        <v>164</v>
      </c>
      <c r="C60" s="23" t="s">
        <v>165</v>
      </c>
      <c r="D60" s="24">
        <v>11.112</v>
      </c>
      <c r="E60" s="24">
        <v>20.310000000000002</v>
      </c>
      <c r="F60" s="24">
        <v>1.5919999999999999</v>
      </c>
      <c r="G60" s="24">
        <v>235.54000000000002</v>
      </c>
      <c r="H60" s="24">
        <v>159.02000000000001</v>
      </c>
      <c r="I60" s="24">
        <v>83.08</v>
      </c>
      <c r="J60" s="24">
        <v>14.22</v>
      </c>
      <c r="K60" s="24">
        <v>183.26</v>
      </c>
      <c r="L60" s="24">
        <v>2.028</v>
      </c>
      <c r="M60" s="24">
        <v>7.0000000000000007E-2</v>
      </c>
      <c r="N60" s="24">
        <v>0</v>
      </c>
      <c r="O60" s="24">
        <v>0</v>
      </c>
      <c r="P60" s="24">
        <v>0</v>
      </c>
      <c r="Q60" s="24">
        <v>0.39</v>
      </c>
      <c r="R60" s="24">
        <v>31.82</v>
      </c>
    </row>
    <row r="61" spans="1:18" ht="29.25" customHeight="1" x14ac:dyDescent="0.2">
      <c r="A61" s="9" t="s">
        <v>91</v>
      </c>
      <c r="B61" s="22" t="s">
        <v>166</v>
      </c>
      <c r="C61" s="41">
        <v>60</v>
      </c>
      <c r="D61" s="24">
        <v>1.1399999999999999</v>
      </c>
      <c r="E61" s="24">
        <v>5.34</v>
      </c>
      <c r="F61" s="24">
        <v>4.62</v>
      </c>
      <c r="G61" s="24">
        <v>71.400000000000006</v>
      </c>
      <c r="H61" s="24">
        <v>189</v>
      </c>
      <c r="I61" s="24">
        <v>24.6</v>
      </c>
      <c r="J61" s="24">
        <v>9</v>
      </c>
      <c r="K61" s="24">
        <v>22.2</v>
      </c>
      <c r="L61" s="24">
        <v>0.42</v>
      </c>
      <c r="M61" s="24">
        <v>0</v>
      </c>
      <c r="N61" s="24">
        <v>0</v>
      </c>
      <c r="O61" s="24">
        <v>0</v>
      </c>
      <c r="P61" s="49">
        <v>0</v>
      </c>
      <c r="Q61" s="24">
        <v>4.2</v>
      </c>
      <c r="R61" s="24">
        <v>11.7</v>
      </c>
    </row>
    <row r="62" spans="1:18" ht="28.5" customHeight="1" x14ac:dyDescent="0.2">
      <c r="A62" s="9" t="s">
        <v>49</v>
      </c>
      <c r="B62" s="22" t="s">
        <v>147</v>
      </c>
      <c r="C62" s="41" t="s">
        <v>151</v>
      </c>
      <c r="D62" s="24">
        <v>5.76</v>
      </c>
      <c r="E62" s="24">
        <v>8.85</v>
      </c>
      <c r="F62" s="24">
        <v>14.9</v>
      </c>
      <c r="G62" s="24">
        <v>165.7</v>
      </c>
      <c r="H62" s="24">
        <v>58.75</v>
      </c>
      <c r="I62" s="24">
        <v>164.9</v>
      </c>
      <c r="J62" s="24">
        <v>10.65</v>
      </c>
      <c r="K62" s="24">
        <v>107.44999999999999</v>
      </c>
      <c r="L62" s="24">
        <v>0.49</v>
      </c>
      <c r="M62" s="24">
        <v>5.6500000000000002E-2</v>
      </c>
      <c r="N62" s="24">
        <v>0</v>
      </c>
      <c r="O62" s="24">
        <v>5.7000000000000002E-2</v>
      </c>
      <c r="P62" s="49">
        <v>0.52200000000000002</v>
      </c>
      <c r="Q62" s="24">
        <v>0.42</v>
      </c>
      <c r="R62" s="16">
        <v>17.34</v>
      </c>
    </row>
    <row r="63" spans="1:18" ht="18.75" customHeight="1" x14ac:dyDescent="0.2">
      <c r="A63" s="136" t="s">
        <v>55</v>
      </c>
      <c r="B63" s="137" t="s">
        <v>148</v>
      </c>
      <c r="C63" s="138" t="s">
        <v>149</v>
      </c>
      <c r="D63" s="16">
        <v>0.1</v>
      </c>
      <c r="E63" s="16">
        <v>0</v>
      </c>
      <c r="F63" s="16">
        <v>15.2</v>
      </c>
      <c r="G63" s="16">
        <v>60</v>
      </c>
      <c r="H63" s="16">
        <v>24.3</v>
      </c>
      <c r="I63" s="16">
        <v>5.7</v>
      </c>
      <c r="J63" s="16">
        <v>3</v>
      </c>
      <c r="K63" s="16">
        <v>5.6</v>
      </c>
      <c r="L63" s="16">
        <v>0.4</v>
      </c>
      <c r="M63" s="16">
        <v>0</v>
      </c>
      <c r="N63" s="16">
        <v>0</v>
      </c>
      <c r="O63" s="16">
        <v>0</v>
      </c>
      <c r="P63" s="16">
        <v>0</v>
      </c>
      <c r="Q63" s="16">
        <v>2.8</v>
      </c>
      <c r="R63" s="24">
        <v>2.96</v>
      </c>
    </row>
    <row r="64" spans="1:18" ht="17.25" customHeight="1" x14ac:dyDescent="0.2">
      <c r="A64" s="9" t="s">
        <v>11</v>
      </c>
      <c r="B64" s="70" t="s">
        <v>150</v>
      </c>
      <c r="C64" s="23">
        <v>50</v>
      </c>
      <c r="D64" s="16">
        <v>3.85</v>
      </c>
      <c r="E64" s="16">
        <v>5.5</v>
      </c>
      <c r="F64" s="16">
        <v>24.9</v>
      </c>
      <c r="G64" s="16">
        <v>131</v>
      </c>
      <c r="H64" s="16">
        <v>63.5</v>
      </c>
      <c r="I64" s="16">
        <v>13</v>
      </c>
      <c r="J64" s="16">
        <v>17.5</v>
      </c>
      <c r="K64" s="16">
        <v>41.5</v>
      </c>
      <c r="L64" s="16">
        <v>0.8</v>
      </c>
      <c r="M64" s="16">
        <v>0</v>
      </c>
      <c r="N64" s="16">
        <v>0.08</v>
      </c>
      <c r="O64" s="16">
        <v>0.04</v>
      </c>
      <c r="P64" s="18">
        <v>0.77</v>
      </c>
      <c r="Q64" s="16">
        <v>0</v>
      </c>
      <c r="R64" s="24">
        <v>2.5</v>
      </c>
    </row>
    <row r="65" spans="1:18" ht="17.25" customHeight="1" x14ac:dyDescent="0.2">
      <c r="A65" s="9" t="s">
        <v>98</v>
      </c>
      <c r="B65" s="22" t="s">
        <v>99</v>
      </c>
      <c r="C65" s="22">
        <v>50</v>
      </c>
      <c r="D65" s="16">
        <v>3.3</v>
      </c>
      <c r="E65" s="16">
        <v>0.6</v>
      </c>
      <c r="F65" s="16">
        <v>17.100000000000001</v>
      </c>
      <c r="G65" s="16">
        <v>90.5</v>
      </c>
      <c r="H65" s="16">
        <v>47</v>
      </c>
      <c r="I65" s="16">
        <v>17</v>
      </c>
      <c r="J65" s="16">
        <v>20.5</v>
      </c>
      <c r="K65" s="16">
        <v>60</v>
      </c>
      <c r="L65" s="16">
        <v>1.1499999999999999</v>
      </c>
      <c r="M65" s="16">
        <v>0</v>
      </c>
      <c r="N65" s="16">
        <v>0</v>
      </c>
      <c r="O65" s="16">
        <v>0</v>
      </c>
      <c r="P65" s="18">
        <v>0</v>
      </c>
      <c r="Q65" s="16">
        <v>0</v>
      </c>
      <c r="R65" s="24">
        <v>3</v>
      </c>
    </row>
    <row r="66" spans="1:18" ht="24.75" customHeight="1" x14ac:dyDescent="0.2">
      <c r="A66" s="9" t="s">
        <v>11</v>
      </c>
      <c r="B66" s="22" t="s">
        <v>152</v>
      </c>
      <c r="C66" s="23" t="s">
        <v>153</v>
      </c>
      <c r="D66" s="16">
        <v>1.6</v>
      </c>
      <c r="E66" s="16">
        <v>0.4</v>
      </c>
      <c r="F66" s="16">
        <v>15</v>
      </c>
      <c r="G66" s="16">
        <v>76</v>
      </c>
      <c r="H66" s="16">
        <v>310</v>
      </c>
      <c r="I66" s="16">
        <v>70</v>
      </c>
      <c r="J66" s="16">
        <v>22</v>
      </c>
      <c r="K66" s="16">
        <v>34</v>
      </c>
      <c r="L66" s="16">
        <v>0.2</v>
      </c>
      <c r="M66" s="16">
        <v>20</v>
      </c>
      <c r="N66" s="16">
        <v>0.12</v>
      </c>
      <c r="O66" s="16">
        <v>0.06</v>
      </c>
      <c r="P66" s="18">
        <v>0.6</v>
      </c>
      <c r="Q66" s="16">
        <v>76</v>
      </c>
      <c r="R66" s="24">
        <v>19.8</v>
      </c>
    </row>
    <row r="67" spans="1:18" ht="16.5" customHeight="1" x14ac:dyDescent="0.2">
      <c r="A67" s="177" t="s">
        <v>12</v>
      </c>
      <c r="B67" s="178"/>
      <c r="C67" s="4">
        <v>713</v>
      </c>
      <c r="D67" s="47">
        <v>26.862000000000005</v>
      </c>
      <c r="E67" s="47">
        <v>41.1</v>
      </c>
      <c r="F67" s="47">
        <v>93.311999999999998</v>
      </c>
      <c r="G67" s="47">
        <v>830.1400000000001</v>
      </c>
      <c r="H67" s="47">
        <v>851.56999999999994</v>
      </c>
      <c r="I67" s="47">
        <v>378.28000000000003</v>
      </c>
      <c r="J67" s="47">
        <v>96.87</v>
      </c>
      <c r="K67" s="47">
        <v>454.01</v>
      </c>
      <c r="L67" s="47">
        <v>5.4880000000000004</v>
      </c>
      <c r="M67" s="47">
        <v>20.1265</v>
      </c>
      <c r="N67" s="47">
        <v>0.2</v>
      </c>
      <c r="O67" s="47">
        <v>0.157</v>
      </c>
      <c r="P67" s="48">
        <v>1.8919999999999999</v>
      </c>
      <c r="Q67" s="47">
        <v>83.81</v>
      </c>
      <c r="R67" s="153">
        <f>SUM(R60:R66)</f>
        <v>89.11999999999999</v>
      </c>
    </row>
    <row r="68" spans="1:18" ht="16.5" customHeight="1" x14ac:dyDescent="0.2">
      <c r="A68" s="9"/>
      <c r="B68" s="17" t="s">
        <v>81</v>
      </c>
      <c r="C68" s="38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8"/>
      <c r="Q68" s="16"/>
      <c r="R68" s="16"/>
    </row>
    <row r="69" spans="1:18" ht="16.5" customHeight="1" x14ac:dyDescent="0.2">
      <c r="A69" s="9"/>
      <c r="B69" s="17" t="s">
        <v>0</v>
      </c>
      <c r="C69" s="38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8"/>
      <c r="Q69" s="16"/>
      <c r="R69" s="16"/>
    </row>
    <row r="70" spans="1:18" ht="33" customHeight="1" x14ac:dyDescent="0.2">
      <c r="A70" s="16" t="s">
        <v>131</v>
      </c>
      <c r="B70" s="43" t="s">
        <v>173</v>
      </c>
      <c r="C70" s="23" t="s">
        <v>172</v>
      </c>
      <c r="D70" s="154">
        <v>6.7859999999999996</v>
      </c>
      <c r="E70" s="154">
        <v>11.472999999999999</v>
      </c>
      <c r="F70" s="154">
        <v>40.048999999999999</v>
      </c>
      <c r="G70" s="154">
        <v>288.59000000000003</v>
      </c>
      <c r="H70" s="154">
        <v>200.55</v>
      </c>
      <c r="I70" s="154">
        <v>144.21999999999997</v>
      </c>
      <c r="J70" s="154">
        <v>44.679999999999993</v>
      </c>
      <c r="K70" s="154">
        <v>184.28</v>
      </c>
      <c r="L70" s="154">
        <v>2.5</v>
      </c>
      <c r="M70" s="154">
        <v>0.05</v>
      </c>
      <c r="N70" s="154">
        <v>0</v>
      </c>
      <c r="O70" s="154">
        <v>0</v>
      </c>
      <c r="P70" s="155">
        <v>1.2989000000000002</v>
      </c>
      <c r="Q70" s="154">
        <v>1.3</v>
      </c>
      <c r="R70" s="24">
        <v>20.61</v>
      </c>
    </row>
    <row r="71" spans="1:18" ht="31.5" customHeight="1" x14ac:dyDescent="0.2">
      <c r="A71" s="9" t="s">
        <v>49</v>
      </c>
      <c r="B71" s="22" t="s">
        <v>147</v>
      </c>
      <c r="C71" s="41" t="s">
        <v>151</v>
      </c>
      <c r="D71" s="24">
        <v>5.76</v>
      </c>
      <c r="E71" s="24">
        <v>8.85</v>
      </c>
      <c r="F71" s="24">
        <v>14.9</v>
      </c>
      <c r="G71" s="24">
        <v>165.7</v>
      </c>
      <c r="H71" s="24">
        <v>58.75</v>
      </c>
      <c r="I71" s="24">
        <v>164.9</v>
      </c>
      <c r="J71" s="24">
        <v>10.65</v>
      </c>
      <c r="K71" s="24">
        <v>107.44999999999999</v>
      </c>
      <c r="L71" s="24">
        <v>0.49</v>
      </c>
      <c r="M71" s="24">
        <v>5.6500000000000002E-2</v>
      </c>
      <c r="N71" s="24">
        <v>0</v>
      </c>
      <c r="O71" s="24">
        <v>5.7000000000000002E-2</v>
      </c>
      <c r="P71" s="49">
        <v>0.52200000000000002</v>
      </c>
      <c r="Q71" s="24">
        <v>0.42</v>
      </c>
      <c r="R71" s="16">
        <v>17.34</v>
      </c>
    </row>
    <row r="72" spans="1:18" ht="39.75" customHeight="1" x14ac:dyDescent="0.2">
      <c r="A72" s="8" t="s">
        <v>50</v>
      </c>
      <c r="B72" s="22" t="s">
        <v>159</v>
      </c>
      <c r="C72" s="41" t="s">
        <v>61</v>
      </c>
      <c r="D72" s="16">
        <v>1</v>
      </c>
      <c r="E72" s="16">
        <v>0.2</v>
      </c>
      <c r="F72" s="16">
        <v>20.2</v>
      </c>
      <c r="G72" s="16">
        <v>92</v>
      </c>
      <c r="H72" s="16">
        <v>240</v>
      </c>
      <c r="I72" s="16">
        <v>14</v>
      </c>
      <c r="J72" s="16">
        <v>8</v>
      </c>
      <c r="K72" s="16">
        <v>14</v>
      </c>
      <c r="L72" s="16">
        <v>2.8</v>
      </c>
      <c r="M72" s="16">
        <v>0</v>
      </c>
      <c r="N72" s="16">
        <v>0</v>
      </c>
      <c r="O72" s="16">
        <v>0</v>
      </c>
      <c r="P72" s="18">
        <v>0.4</v>
      </c>
      <c r="Q72" s="16">
        <v>4</v>
      </c>
      <c r="R72" s="24">
        <v>22</v>
      </c>
    </row>
    <row r="73" spans="1:18" ht="21" customHeight="1" x14ac:dyDescent="0.2">
      <c r="A73" s="9" t="s">
        <v>11</v>
      </c>
      <c r="B73" s="70" t="s">
        <v>150</v>
      </c>
      <c r="C73" s="23">
        <v>20</v>
      </c>
      <c r="D73" s="16">
        <v>1.54</v>
      </c>
      <c r="E73" s="16">
        <v>1.6</v>
      </c>
      <c r="F73" s="16">
        <v>9.9600000000000009</v>
      </c>
      <c r="G73" s="16">
        <v>52.4</v>
      </c>
      <c r="H73" s="16">
        <v>25.4</v>
      </c>
      <c r="I73" s="16">
        <v>5.2</v>
      </c>
      <c r="J73" s="16">
        <v>7</v>
      </c>
      <c r="K73" s="16">
        <v>16.600000000000001</v>
      </c>
      <c r="L73" s="16">
        <v>0.32</v>
      </c>
      <c r="M73" s="16">
        <v>0</v>
      </c>
      <c r="N73" s="16">
        <v>3.2000000000000001E-2</v>
      </c>
      <c r="O73" s="16">
        <v>1.6E-2</v>
      </c>
      <c r="P73" s="18">
        <v>0.308</v>
      </c>
      <c r="Q73" s="16">
        <v>0</v>
      </c>
      <c r="R73" s="24">
        <v>1</v>
      </c>
    </row>
    <row r="74" spans="1:18" ht="21.75" customHeight="1" x14ac:dyDescent="0.2">
      <c r="A74" s="9" t="s">
        <v>98</v>
      </c>
      <c r="B74" s="22" t="s">
        <v>99</v>
      </c>
      <c r="C74" s="22">
        <v>50</v>
      </c>
      <c r="D74" s="16">
        <v>3.3</v>
      </c>
      <c r="E74" s="16">
        <v>0.6</v>
      </c>
      <c r="F74" s="16">
        <v>17.100000000000001</v>
      </c>
      <c r="G74" s="16">
        <v>90.5</v>
      </c>
      <c r="H74" s="16">
        <v>47</v>
      </c>
      <c r="I74" s="16">
        <v>17</v>
      </c>
      <c r="J74" s="16">
        <v>20.5</v>
      </c>
      <c r="K74" s="16">
        <v>60</v>
      </c>
      <c r="L74" s="16">
        <v>1.1499999999999999</v>
      </c>
      <c r="M74" s="16">
        <v>0</v>
      </c>
      <c r="N74" s="16">
        <v>0</v>
      </c>
      <c r="O74" s="16">
        <v>0</v>
      </c>
      <c r="P74" s="18">
        <v>0</v>
      </c>
      <c r="Q74" s="16">
        <v>0</v>
      </c>
      <c r="R74" s="24">
        <v>3</v>
      </c>
    </row>
    <row r="75" spans="1:18" ht="31.5" customHeight="1" x14ac:dyDescent="0.2">
      <c r="A75" s="9" t="s">
        <v>11</v>
      </c>
      <c r="B75" s="22" t="s">
        <v>154</v>
      </c>
      <c r="C75" s="23" t="s">
        <v>153</v>
      </c>
      <c r="D75" s="16">
        <v>0.72</v>
      </c>
      <c r="E75" s="16">
        <v>0.72</v>
      </c>
      <c r="F75" s="16">
        <v>17.64</v>
      </c>
      <c r="G75" s="16">
        <v>84.6</v>
      </c>
      <c r="H75" s="16">
        <v>500.4</v>
      </c>
      <c r="I75" s="16">
        <v>28.8</v>
      </c>
      <c r="J75" s="16">
        <v>16.2</v>
      </c>
      <c r="K75" s="16">
        <v>19.8</v>
      </c>
      <c r="L75" s="16">
        <v>3.9600000000000004</v>
      </c>
      <c r="M75" s="16">
        <v>0</v>
      </c>
      <c r="N75" s="16">
        <v>0</v>
      </c>
      <c r="O75" s="16">
        <v>0</v>
      </c>
      <c r="P75" s="18">
        <v>0</v>
      </c>
      <c r="Q75" s="16">
        <v>18</v>
      </c>
      <c r="R75" s="24">
        <v>14.4</v>
      </c>
    </row>
    <row r="76" spans="1:18" ht="16.5" customHeight="1" x14ac:dyDescent="0.2">
      <c r="A76" s="177" t="s">
        <v>12</v>
      </c>
      <c r="B76" s="178"/>
      <c r="C76" s="4">
        <v>720</v>
      </c>
      <c r="D76" s="47">
        <v>19.105999999999998</v>
      </c>
      <c r="E76" s="47">
        <v>23.443000000000001</v>
      </c>
      <c r="F76" s="47">
        <v>119.849</v>
      </c>
      <c r="G76" s="47">
        <v>773.79</v>
      </c>
      <c r="H76" s="47">
        <v>1072.0999999999999</v>
      </c>
      <c r="I76" s="47">
        <v>374.12</v>
      </c>
      <c r="J76" s="47">
        <v>107.02999999999999</v>
      </c>
      <c r="K76" s="47">
        <v>402.13000000000005</v>
      </c>
      <c r="L76" s="47">
        <v>11.22</v>
      </c>
      <c r="M76" s="47">
        <v>0.10650000000000001</v>
      </c>
      <c r="N76" s="47">
        <v>3.2000000000000001E-2</v>
      </c>
      <c r="O76" s="47">
        <v>7.3000000000000009E-2</v>
      </c>
      <c r="P76" s="47">
        <v>2.5289000000000001</v>
      </c>
      <c r="Q76" s="47">
        <v>23.72</v>
      </c>
      <c r="R76" s="57">
        <f>SUM(R70:R75)</f>
        <v>78.350000000000009</v>
      </c>
    </row>
    <row r="77" spans="1:18" ht="16.5" customHeight="1" x14ac:dyDescent="0.2">
      <c r="A77" s="17"/>
      <c r="B77" s="17"/>
      <c r="C77" s="16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8"/>
      <c r="Q77" s="47"/>
      <c r="R77" s="52"/>
    </row>
    <row r="78" spans="1:18" ht="16.5" customHeight="1" x14ac:dyDescent="0.2">
      <c r="A78" s="9"/>
      <c r="B78" s="17" t="s">
        <v>82</v>
      </c>
      <c r="C78" s="38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8"/>
      <c r="Q78" s="16"/>
      <c r="R78" s="16"/>
    </row>
    <row r="79" spans="1:18" ht="16.5" customHeight="1" x14ac:dyDescent="0.2">
      <c r="A79" s="9"/>
      <c r="B79" s="17" t="s">
        <v>0</v>
      </c>
      <c r="C79" s="38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8"/>
      <c r="Q79" s="16"/>
      <c r="R79" s="16"/>
    </row>
    <row r="80" spans="1:18" ht="28.5" customHeight="1" x14ac:dyDescent="0.2">
      <c r="A80" s="140" t="s">
        <v>136</v>
      </c>
      <c r="B80" s="148" t="s">
        <v>167</v>
      </c>
      <c r="C80" s="150" t="s">
        <v>157</v>
      </c>
      <c r="D80" s="24">
        <v>24.368599999999997</v>
      </c>
      <c r="E80" s="24">
        <v>25.1722</v>
      </c>
      <c r="F80" s="24">
        <v>3.16</v>
      </c>
      <c r="G80" s="24">
        <v>337.524</v>
      </c>
      <c r="H80" s="24">
        <v>404.846</v>
      </c>
      <c r="I80" s="24">
        <v>12.544</v>
      </c>
      <c r="J80" s="24">
        <v>113.64799999999998</v>
      </c>
      <c r="K80" s="24">
        <v>225.57799999999997</v>
      </c>
      <c r="L80" s="24">
        <v>1.8892</v>
      </c>
      <c r="M80" s="24">
        <v>89.46</v>
      </c>
      <c r="N80" s="24">
        <v>0</v>
      </c>
      <c r="O80" s="24">
        <v>0</v>
      </c>
      <c r="P80" s="24">
        <v>13.784599999999998</v>
      </c>
      <c r="Q80" s="24">
        <v>3.5004</v>
      </c>
      <c r="R80" s="24">
        <v>40.53</v>
      </c>
    </row>
    <row r="81" spans="1:18" ht="30" customHeight="1" x14ac:dyDescent="0.2">
      <c r="A81" s="8" t="s">
        <v>133</v>
      </c>
      <c r="B81" s="22" t="s">
        <v>168</v>
      </c>
      <c r="C81" s="41">
        <v>180</v>
      </c>
      <c r="D81" s="16">
        <v>10.388</v>
      </c>
      <c r="E81" s="16">
        <v>7.7809999999999997</v>
      </c>
      <c r="F81" s="16">
        <v>51.012999999999998</v>
      </c>
      <c r="G81" s="16">
        <v>320.96999999999997</v>
      </c>
      <c r="H81" s="16">
        <v>138.55000000000001</v>
      </c>
      <c r="I81" s="16">
        <v>58.94</v>
      </c>
      <c r="J81" s="16">
        <v>80.569999999999993</v>
      </c>
      <c r="K81" s="16">
        <v>245.69000000000003</v>
      </c>
      <c r="L81" s="16">
        <v>6.5739999999999998</v>
      </c>
      <c r="M81" s="16">
        <v>3.5000000000000003E-2</v>
      </c>
      <c r="N81" s="16">
        <v>0</v>
      </c>
      <c r="O81" s="16">
        <v>0</v>
      </c>
      <c r="P81" s="18">
        <v>0</v>
      </c>
      <c r="Q81" s="16">
        <v>0</v>
      </c>
      <c r="R81" s="24">
        <v>11.56</v>
      </c>
    </row>
    <row r="82" spans="1:18" ht="23.25" customHeight="1" x14ac:dyDescent="0.2">
      <c r="A82" s="42" t="s">
        <v>93</v>
      </c>
      <c r="B82" s="43" t="s">
        <v>94</v>
      </c>
      <c r="C82" s="22">
        <v>200</v>
      </c>
      <c r="D82" s="42">
        <v>0.44</v>
      </c>
      <c r="E82" s="42">
        <v>0</v>
      </c>
      <c r="F82" s="42">
        <v>31.76</v>
      </c>
      <c r="G82" s="42">
        <v>126.4</v>
      </c>
      <c r="H82" s="42">
        <v>0.6</v>
      </c>
      <c r="I82" s="42">
        <v>0.60000000000000009</v>
      </c>
      <c r="J82" s="42">
        <v>0</v>
      </c>
      <c r="K82" s="42">
        <v>0</v>
      </c>
      <c r="L82" s="42">
        <v>0.03</v>
      </c>
      <c r="M82" s="42">
        <v>0</v>
      </c>
      <c r="N82" s="42">
        <v>0</v>
      </c>
      <c r="O82" s="42">
        <v>0</v>
      </c>
      <c r="P82" s="149">
        <v>0</v>
      </c>
      <c r="Q82" s="42">
        <v>0.24000000000000002</v>
      </c>
      <c r="R82" s="24">
        <v>6.78</v>
      </c>
    </row>
    <row r="83" spans="1:18" ht="18" customHeight="1" x14ac:dyDescent="0.2">
      <c r="A83" s="40" t="s">
        <v>11</v>
      </c>
      <c r="B83" s="22" t="s">
        <v>150</v>
      </c>
      <c r="C83" s="22">
        <v>50</v>
      </c>
      <c r="D83" s="16">
        <v>3.85</v>
      </c>
      <c r="E83" s="16">
        <v>5.5</v>
      </c>
      <c r="F83" s="16">
        <v>24.9</v>
      </c>
      <c r="G83" s="16">
        <v>131</v>
      </c>
      <c r="H83" s="16">
        <v>63.5</v>
      </c>
      <c r="I83" s="16">
        <v>13</v>
      </c>
      <c r="J83" s="16">
        <v>17.5</v>
      </c>
      <c r="K83" s="16">
        <v>41.5</v>
      </c>
      <c r="L83" s="16">
        <v>0.8</v>
      </c>
      <c r="M83" s="16">
        <v>0</v>
      </c>
      <c r="N83" s="16">
        <v>0.08</v>
      </c>
      <c r="O83" s="16">
        <v>0.04</v>
      </c>
      <c r="P83" s="18">
        <v>0.77</v>
      </c>
      <c r="Q83" s="16">
        <v>0</v>
      </c>
      <c r="R83" s="24">
        <v>2.5</v>
      </c>
    </row>
    <row r="84" spans="1:18" ht="18" customHeight="1" x14ac:dyDescent="0.2">
      <c r="A84" s="16" t="s">
        <v>98</v>
      </c>
      <c r="B84" s="22" t="s">
        <v>99</v>
      </c>
      <c r="C84" s="22">
        <v>50</v>
      </c>
      <c r="D84" s="16">
        <v>3.3</v>
      </c>
      <c r="E84" s="16">
        <v>0.6</v>
      </c>
      <c r="F84" s="16">
        <v>17.100000000000001</v>
      </c>
      <c r="G84" s="16">
        <v>90.5</v>
      </c>
      <c r="H84" s="16">
        <v>47</v>
      </c>
      <c r="I84" s="16">
        <v>17</v>
      </c>
      <c r="J84" s="16">
        <v>20.5</v>
      </c>
      <c r="K84" s="16">
        <v>60</v>
      </c>
      <c r="L84" s="16">
        <v>1.1499999999999999</v>
      </c>
      <c r="M84" s="16">
        <v>0</v>
      </c>
      <c r="N84" s="16">
        <v>0</v>
      </c>
      <c r="O84" s="16">
        <v>0</v>
      </c>
      <c r="P84" s="18">
        <v>0</v>
      </c>
      <c r="Q84" s="16">
        <v>0</v>
      </c>
      <c r="R84" s="24">
        <v>3</v>
      </c>
    </row>
    <row r="85" spans="1:18" ht="25.5" customHeight="1" x14ac:dyDescent="0.2">
      <c r="A85" s="9" t="s">
        <v>11</v>
      </c>
      <c r="B85" s="22" t="s">
        <v>152</v>
      </c>
      <c r="C85" s="23" t="s">
        <v>153</v>
      </c>
      <c r="D85" s="16">
        <v>1.6</v>
      </c>
      <c r="E85" s="16">
        <v>0.4</v>
      </c>
      <c r="F85" s="16">
        <v>15</v>
      </c>
      <c r="G85" s="16">
        <v>76</v>
      </c>
      <c r="H85" s="16">
        <v>310</v>
      </c>
      <c r="I85" s="16">
        <v>70</v>
      </c>
      <c r="J85" s="16">
        <v>22</v>
      </c>
      <c r="K85" s="16">
        <v>34</v>
      </c>
      <c r="L85" s="16">
        <v>0.2</v>
      </c>
      <c r="M85" s="16">
        <v>20</v>
      </c>
      <c r="N85" s="16">
        <v>0.12</v>
      </c>
      <c r="O85" s="16">
        <v>0.06</v>
      </c>
      <c r="P85" s="18">
        <v>0.6</v>
      </c>
      <c r="Q85" s="16">
        <v>76</v>
      </c>
      <c r="R85" s="24">
        <v>19.8</v>
      </c>
    </row>
    <row r="86" spans="1:18" ht="19.5" customHeight="1" x14ac:dyDescent="0.2">
      <c r="A86" s="146" t="s">
        <v>104</v>
      </c>
      <c r="B86" s="147" t="s">
        <v>160</v>
      </c>
      <c r="C86" s="41">
        <v>60</v>
      </c>
      <c r="D86" s="16">
        <v>0.48</v>
      </c>
      <c r="E86" s="16">
        <v>0.06</v>
      </c>
      <c r="F86" s="16">
        <v>1.5</v>
      </c>
      <c r="G86" s="16">
        <v>8.4</v>
      </c>
      <c r="H86" s="16">
        <v>84.6</v>
      </c>
      <c r="I86" s="16">
        <v>13.8</v>
      </c>
      <c r="J86" s="16">
        <v>8.4</v>
      </c>
      <c r="K86" s="16">
        <v>25.2</v>
      </c>
      <c r="L86" s="16">
        <v>0.36</v>
      </c>
      <c r="M86" s="16">
        <v>6</v>
      </c>
      <c r="N86" s="16">
        <v>1.7999999999999999E-2</v>
      </c>
      <c r="O86" s="16">
        <v>2.4E-2</v>
      </c>
      <c r="P86" s="18">
        <v>0.12</v>
      </c>
      <c r="Q86" s="16">
        <v>6</v>
      </c>
      <c r="R86" s="24">
        <v>3.18</v>
      </c>
    </row>
    <row r="87" spans="1:18" ht="17.25" customHeight="1" x14ac:dyDescent="0.2">
      <c r="A87" s="177" t="s">
        <v>12</v>
      </c>
      <c r="B87" s="178"/>
      <c r="C87" s="4">
        <v>860</v>
      </c>
      <c r="D87" s="47">
        <v>44.426599999999993</v>
      </c>
      <c r="E87" s="47">
        <v>39.513200000000005</v>
      </c>
      <c r="F87" s="47">
        <v>144.43299999999999</v>
      </c>
      <c r="G87" s="47">
        <v>1090.7939999999999</v>
      </c>
      <c r="H87" s="47">
        <v>1049.096</v>
      </c>
      <c r="I87" s="47">
        <v>185.88399999999999</v>
      </c>
      <c r="J87" s="47">
        <v>262.61799999999994</v>
      </c>
      <c r="K87" s="47">
        <v>631.96800000000007</v>
      </c>
      <c r="L87" s="47">
        <v>11.0032</v>
      </c>
      <c r="M87" s="47">
        <v>115.49499999999999</v>
      </c>
      <c r="N87" s="47">
        <v>0.218</v>
      </c>
      <c r="O87" s="47">
        <v>0.124</v>
      </c>
      <c r="P87" s="47">
        <v>15.274599999999996</v>
      </c>
      <c r="Q87" s="47">
        <v>85.740399999999994</v>
      </c>
      <c r="R87" s="57">
        <f>SUM(R80:R86)</f>
        <v>87.350000000000009</v>
      </c>
    </row>
    <row r="88" spans="1:18" ht="16.5" customHeight="1" x14ac:dyDescent="0.2">
      <c r="A88" s="9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8"/>
      <c r="Q88" s="16"/>
      <c r="R88" s="16"/>
    </row>
    <row r="89" spans="1:18" ht="16.5" customHeight="1" x14ac:dyDescent="0.2">
      <c r="A89" s="9"/>
      <c r="B89" s="17" t="s">
        <v>83</v>
      </c>
      <c r="C89" s="38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8"/>
      <c r="Q89" s="16"/>
      <c r="R89" s="16"/>
    </row>
    <row r="90" spans="1:18" ht="16.5" customHeight="1" x14ac:dyDescent="0.2">
      <c r="A90" s="9"/>
      <c r="B90" s="17" t="s">
        <v>0</v>
      </c>
      <c r="C90" s="38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8"/>
      <c r="Q90" s="16"/>
      <c r="R90" s="16"/>
    </row>
    <row r="91" spans="1:18" ht="29.25" customHeight="1" x14ac:dyDescent="0.2">
      <c r="A91" s="42" t="s">
        <v>40</v>
      </c>
      <c r="B91" s="43" t="s">
        <v>145</v>
      </c>
      <c r="C91" s="23" t="s">
        <v>169</v>
      </c>
      <c r="D91" s="38">
        <v>19.261399999999998</v>
      </c>
      <c r="E91" s="38">
        <v>16.824400000000001</v>
      </c>
      <c r="F91" s="38">
        <v>72.174399999999991</v>
      </c>
      <c r="G91" s="38">
        <v>517.47299999999996</v>
      </c>
      <c r="H91" s="38">
        <v>478.72800000000001</v>
      </c>
      <c r="I91" s="38">
        <v>401.74400000000003</v>
      </c>
      <c r="J91" s="38">
        <v>58.182000000000002</v>
      </c>
      <c r="K91" s="38">
        <v>379.64800000000002</v>
      </c>
      <c r="L91" s="38">
        <v>0.77359999999999995</v>
      </c>
      <c r="M91" s="38">
        <v>0</v>
      </c>
      <c r="N91" s="38">
        <v>0</v>
      </c>
      <c r="O91" s="38">
        <v>0</v>
      </c>
      <c r="P91" s="151">
        <v>0.28992000000000001</v>
      </c>
      <c r="Q91" s="38">
        <v>1.3608</v>
      </c>
      <c r="R91" s="24">
        <v>66.430000000000007</v>
      </c>
    </row>
    <row r="92" spans="1:18" ht="31.5" customHeight="1" x14ac:dyDescent="0.2">
      <c r="A92" s="9" t="s">
        <v>49</v>
      </c>
      <c r="B92" s="22" t="s">
        <v>147</v>
      </c>
      <c r="C92" s="41" t="s">
        <v>151</v>
      </c>
      <c r="D92" s="24">
        <v>5.76</v>
      </c>
      <c r="E92" s="24">
        <v>8.85</v>
      </c>
      <c r="F92" s="24">
        <v>14.9</v>
      </c>
      <c r="G92" s="24">
        <v>165.7</v>
      </c>
      <c r="H92" s="24">
        <v>58.75</v>
      </c>
      <c r="I92" s="24">
        <v>164.9</v>
      </c>
      <c r="J92" s="24">
        <v>10.65</v>
      </c>
      <c r="K92" s="24">
        <v>107.44999999999999</v>
      </c>
      <c r="L92" s="24">
        <v>0.49</v>
      </c>
      <c r="M92" s="24">
        <v>5.6500000000000002E-2</v>
      </c>
      <c r="N92" s="24">
        <v>0</v>
      </c>
      <c r="O92" s="24">
        <v>5.7000000000000002E-2</v>
      </c>
      <c r="P92" s="49">
        <v>0.52200000000000002</v>
      </c>
      <c r="Q92" s="24">
        <v>0.42</v>
      </c>
      <c r="R92" s="24">
        <v>17.34</v>
      </c>
    </row>
    <row r="93" spans="1:18" ht="16.5" customHeight="1" x14ac:dyDescent="0.2">
      <c r="A93" s="140" t="s">
        <v>124</v>
      </c>
      <c r="B93" s="142" t="s">
        <v>125</v>
      </c>
      <c r="C93" s="142">
        <v>200</v>
      </c>
      <c r="D93" s="16">
        <v>3.55</v>
      </c>
      <c r="E93" s="16">
        <v>3.3800000000000003</v>
      </c>
      <c r="F93" s="16">
        <v>25.01</v>
      </c>
      <c r="G93" s="16">
        <v>139.73500000000001</v>
      </c>
      <c r="H93" s="16">
        <v>146.6</v>
      </c>
      <c r="I93" s="16">
        <v>125.4</v>
      </c>
      <c r="J93" s="16">
        <v>14</v>
      </c>
      <c r="K93" s="16">
        <v>102.5</v>
      </c>
      <c r="L93" s="16">
        <v>0.40500000000000003</v>
      </c>
      <c r="M93" s="16">
        <v>0.02</v>
      </c>
      <c r="N93" s="16">
        <v>0.04</v>
      </c>
      <c r="O93" s="16">
        <v>0.2</v>
      </c>
      <c r="P93" s="18">
        <v>1.3</v>
      </c>
      <c r="Q93" s="16">
        <v>1.3</v>
      </c>
      <c r="R93" s="24">
        <v>11.97</v>
      </c>
    </row>
    <row r="94" spans="1:18" ht="16.5" customHeight="1" x14ac:dyDescent="0.2">
      <c r="A94" s="9" t="s">
        <v>11</v>
      </c>
      <c r="B94" s="70" t="s">
        <v>150</v>
      </c>
      <c r="C94" s="23">
        <v>20</v>
      </c>
      <c r="D94" s="16">
        <v>1.54</v>
      </c>
      <c r="E94" s="16">
        <v>1.6</v>
      </c>
      <c r="F94" s="16">
        <v>9.9600000000000009</v>
      </c>
      <c r="G94" s="16">
        <v>52.4</v>
      </c>
      <c r="H94" s="16">
        <v>25.4</v>
      </c>
      <c r="I94" s="16">
        <v>5.2</v>
      </c>
      <c r="J94" s="16">
        <v>7</v>
      </c>
      <c r="K94" s="16">
        <v>16.600000000000001</v>
      </c>
      <c r="L94" s="16">
        <v>0.32</v>
      </c>
      <c r="M94" s="16">
        <v>0</v>
      </c>
      <c r="N94" s="16">
        <v>3.2000000000000001E-2</v>
      </c>
      <c r="O94" s="16">
        <v>1.6E-2</v>
      </c>
      <c r="P94" s="18">
        <v>0.308</v>
      </c>
      <c r="Q94" s="16">
        <v>0</v>
      </c>
      <c r="R94" s="24">
        <v>1</v>
      </c>
    </row>
    <row r="95" spans="1:18" ht="15.75" customHeight="1" x14ac:dyDescent="0.2">
      <c r="A95" s="9" t="s">
        <v>98</v>
      </c>
      <c r="B95" s="22" t="s">
        <v>99</v>
      </c>
      <c r="C95" s="22">
        <v>50</v>
      </c>
      <c r="D95" s="16">
        <v>3.3</v>
      </c>
      <c r="E95" s="16">
        <v>0.6</v>
      </c>
      <c r="F95" s="16">
        <v>17.100000000000001</v>
      </c>
      <c r="G95" s="16">
        <v>90.5</v>
      </c>
      <c r="H95" s="16">
        <v>47</v>
      </c>
      <c r="I95" s="16">
        <v>17</v>
      </c>
      <c r="J95" s="16">
        <v>20.5</v>
      </c>
      <c r="K95" s="16">
        <v>60</v>
      </c>
      <c r="L95" s="16">
        <v>1.1499999999999999</v>
      </c>
      <c r="M95" s="16">
        <v>0</v>
      </c>
      <c r="N95" s="16">
        <v>0</v>
      </c>
      <c r="O95" s="16">
        <v>0</v>
      </c>
      <c r="P95" s="18">
        <v>0</v>
      </c>
      <c r="Q95" s="16">
        <v>0</v>
      </c>
      <c r="R95" s="24">
        <v>3</v>
      </c>
    </row>
    <row r="96" spans="1:18" ht="43.5" customHeight="1" x14ac:dyDescent="0.2">
      <c r="A96" s="9" t="s">
        <v>11</v>
      </c>
      <c r="B96" s="22" t="s">
        <v>163</v>
      </c>
      <c r="C96" s="23" t="s">
        <v>162</v>
      </c>
      <c r="D96" s="16">
        <v>6.25</v>
      </c>
      <c r="E96" s="16">
        <v>4</v>
      </c>
      <c r="F96" s="16">
        <v>4.375</v>
      </c>
      <c r="G96" s="16">
        <v>85</v>
      </c>
      <c r="H96" s="16">
        <v>183.75</v>
      </c>
      <c r="I96" s="16">
        <v>152.5</v>
      </c>
      <c r="J96" s="16">
        <v>18.75</v>
      </c>
      <c r="K96" s="16">
        <v>120</v>
      </c>
      <c r="L96" s="16">
        <v>0.125</v>
      </c>
      <c r="M96" s="16">
        <v>2.5000000000000001E-2</v>
      </c>
      <c r="N96" s="16">
        <v>0.05</v>
      </c>
      <c r="O96" s="16">
        <v>0.25</v>
      </c>
      <c r="P96" s="18">
        <v>0.25</v>
      </c>
      <c r="Q96" s="16">
        <v>0.75</v>
      </c>
      <c r="R96" s="24">
        <v>29.5</v>
      </c>
    </row>
    <row r="97" spans="1:18" ht="16.5" customHeight="1" x14ac:dyDescent="0.2">
      <c r="A97" s="177" t="s">
        <v>12</v>
      </c>
      <c r="B97" s="178"/>
      <c r="C97" s="4">
        <v>645</v>
      </c>
      <c r="D97" s="47">
        <v>39.661399999999993</v>
      </c>
      <c r="E97" s="47">
        <v>35.254400000000004</v>
      </c>
      <c r="F97" s="47">
        <v>143.51939999999999</v>
      </c>
      <c r="G97" s="47">
        <v>1050.808</v>
      </c>
      <c r="H97" s="47">
        <v>940.22799999999995</v>
      </c>
      <c r="I97" s="47">
        <v>866.74400000000003</v>
      </c>
      <c r="J97" s="47">
        <v>129.08199999999999</v>
      </c>
      <c r="K97" s="47">
        <v>786.19799999999998</v>
      </c>
      <c r="L97" s="47">
        <v>3.2635999999999998</v>
      </c>
      <c r="M97" s="47">
        <v>0.10150000000000001</v>
      </c>
      <c r="N97" s="47">
        <v>0.12200000000000001</v>
      </c>
      <c r="O97" s="47">
        <v>0.52300000000000002</v>
      </c>
      <c r="P97" s="47">
        <v>2.6699199999999998</v>
      </c>
      <c r="Q97" s="47">
        <v>3.8308</v>
      </c>
      <c r="R97" s="57">
        <f>SUM(R91:R96)</f>
        <v>129.24</v>
      </c>
    </row>
    <row r="98" spans="1:18" ht="16.5" customHeight="1" x14ac:dyDescent="0.2">
      <c r="A98" s="17"/>
      <c r="B98" s="17"/>
      <c r="C98" s="16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8"/>
      <c r="Q98" s="47"/>
      <c r="R98" s="52"/>
    </row>
    <row r="99" spans="1:18" ht="16.5" customHeight="1" x14ac:dyDescent="0.2">
      <c r="A99" s="9"/>
      <c r="B99" s="17" t="s">
        <v>84</v>
      </c>
      <c r="C99" s="38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8"/>
      <c r="Q99" s="16"/>
      <c r="R99" s="16"/>
    </row>
    <row r="100" spans="1:18" ht="16.5" customHeight="1" x14ac:dyDescent="0.2">
      <c r="A100" s="9"/>
      <c r="B100" s="17" t="s">
        <v>0</v>
      </c>
      <c r="C100" s="38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8"/>
      <c r="Q100" s="16"/>
      <c r="R100" s="16"/>
    </row>
    <row r="101" spans="1:18" ht="20.25" customHeight="1" x14ac:dyDescent="0.2">
      <c r="A101" s="140" t="s">
        <v>138</v>
      </c>
      <c r="B101" s="142" t="s">
        <v>139</v>
      </c>
      <c r="C101" s="23" t="s">
        <v>157</v>
      </c>
      <c r="D101" s="24">
        <v>12.935499999999999</v>
      </c>
      <c r="E101" s="24">
        <v>15.37</v>
      </c>
      <c r="F101" s="24">
        <v>13.458</v>
      </c>
      <c r="G101" s="24">
        <v>247.24800000000002</v>
      </c>
      <c r="H101" s="24">
        <v>288.29500000000002</v>
      </c>
      <c r="I101" s="24">
        <v>38.26</v>
      </c>
      <c r="J101" s="24">
        <v>21.82</v>
      </c>
      <c r="K101" s="24">
        <v>107.49</v>
      </c>
      <c r="L101" s="24">
        <v>1.2049999999999998</v>
      </c>
      <c r="M101" s="24">
        <v>2.2249999999999999E-2</v>
      </c>
      <c r="N101" s="24">
        <v>1.8450000000000001E-2</v>
      </c>
      <c r="O101" s="24">
        <v>9.2649999999999996E-2</v>
      </c>
      <c r="P101" s="49">
        <v>2.0314999999999999</v>
      </c>
      <c r="Q101" s="24">
        <v>3.7345000000000002</v>
      </c>
      <c r="R101" s="24">
        <v>47.16</v>
      </c>
    </row>
    <row r="102" spans="1:18" ht="31.5" customHeight="1" x14ac:dyDescent="0.2">
      <c r="A102" s="8" t="s">
        <v>31</v>
      </c>
      <c r="B102" s="22" t="s">
        <v>170</v>
      </c>
      <c r="C102" s="41">
        <v>180</v>
      </c>
      <c r="D102" s="24">
        <v>6.3999999999999995</v>
      </c>
      <c r="E102" s="24">
        <v>5.7460000000000004</v>
      </c>
      <c r="F102" s="24">
        <v>42.607999999999997</v>
      </c>
      <c r="G102" s="24">
        <v>251.84</v>
      </c>
      <c r="H102" s="24">
        <v>77.25</v>
      </c>
      <c r="I102" s="24">
        <v>12.52</v>
      </c>
      <c r="J102" s="24">
        <v>9.9700000000000006</v>
      </c>
      <c r="K102" s="24">
        <v>54.4</v>
      </c>
      <c r="L102" s="24">
        <v>0.746</v>
      </c>
      <c r="M102" s="24">
        <v>3.5000000000000003E-2</v>
      </c>
      <c r="N102" s="24">
        <v>0</v>
      </c>
      <c r="O102" s="24">
        <v>0</v>
      </c>
      <c r="P102" s="24">
        <v>0</v>
      </c>
      <c r="Q102" s="24">
        <v>0</v>
      </c>
      <c r="R102" s="24">
        <v>12.6</v>
      </c>
    </row>
    <row r="103" spans="1:18" ht="39.75" customHeight="1" x14ac:dyDescent="0.2">
      <c r="A103" s="8" t="s">
        <v>50</v>
      </c>
      <c r="B103" s="22" t="s">
        <v>159</v>
      </c>
      <c r="C103" s="41" t="s">
        <v>61</v>
      </c>
      <c r="D103" s="16">
        <v>1</v>
      </c>
      <c r="E103" s="16">
        <v>0.2</v>
      </c>
      <c r="F103" s="16">
        <v>20.2</v>
      </c>
      <c r="G103" s="16">
        <v>92</v>
      </c>
      <c r="H103" s="16">
        <v>240</v>
      </c>
      <c r="I103" s="16">
        <v>14</v>
      </c>
      <c r="J103" s="16">
        <v>8</v>
      </c>
      <c r="K103" s="16">
        <v>14</v>
      </c>
      <c r="L103" s="16">
        <v>2.8</v>
      </c>
      <c r="M103" s="16">
        <v>0</v>
      </c>
      <c r="N103" s="16">
        <v>0</v>
      </c>
      <c r="O103" s="16">
        <v>0</v>
      </c>
      <c r="P103" s="18">
        <v>0.4</v>
      </c>
      <c r="Q103" s="16">
        <v>4</v>
      </c>
      <c r="R103" s="24">
        <v>22</v>
      </c>
    </row>
    <row r="104" spans="1:18" ht="16.5" customHeight="1" x14ac:dyDescent="0.2">
      <c r="A104" s="40" t="s">
        <v>11</v>
      </c>
      <c r="B104" s="22" t="s">
        <v>150</v>
      </c>
      <c r="C104" s="22">
        <v>50</v>
      </c>
      <c r="D104" s="16">
        <v>3.85</v>
      </c>
      <c r="E104" s="16">
        <v>5.5</v>
      </c>
      <c r="F104" s="16">
        <v>24.9</v>
      </c>
      <c r="G104" s="16">
        <v>131</v>
      </c>
      <c r="H104" s="16">
        <v>63.5</v>
      </c>
      <c r="I104" s="16">
        <v>13</v>
      </c>
      <c r="J104" s="16">
        <v>17.5</v>
      </c>
      <c r="K104" s="16">
        <v>41.5</v>
      </c>
      <c r="L104" s="16">
        <v>0.8</v>
      </c>
      <c r="M104" s="16">
        <v>0</v>
      </c>
      <c r="N104" s="16">
        <v>0.08</v>
      </c>
      <c r="O104" s="16">
        <v>0.04</v>
      </c>
      <c r="P104" s="18">
        <v>0.77</v>
      </c>
      <c r="Q104" s="16">
        <v>0</v>
      </c>
      <c r="R104" s="16">
        <v>2.5</v>
      </c>
    </row>
    <row r="105" spans="1:18" ht="16.5" customHeight="1" x14ac:dyDescent="0.2">
      <c r="A105" s="16" t="s">
        <v>98</v>
      </c>
      <c r="B105" s="22" t="s">
        <v>99</v>
      </c>
      <c r="C105" s="22">
        <v>50</v>
      </c>
      <c r="D105" s="16">
        <v>3.3</v>
      </c>
      <c r="E105" s="16">
        <v>0.6</v>
      </c>
      <c r="F105" s="16">
        <v>17.100000000000001</v>
      </c>
      <c r="G105" s="16">
        <v>90.5</v>
      </c>
      <c r="H105" s="16">
        <v>47</v>
      </c>
      <c r="I105" s="16">
        <v>17</v>
      </c>
      <c r="J105" s="16">
        <v>20.5</v>
      </c>
      <c r="K105" s="16">
        <v>60</v>
      </c>
      <c r="L105" s="16">
        <v>1.1499999999999999</v>
      </c>
      <c r="M105" s="16">
        <v>0</v>
      </c>
      <c r="N105" s="16">
        <v>0</v>
      </c>
      <c r="O105" s="16">
        <v>0</v>
      </c>
      <c r="P105" s="18">
        <v>0</v>
      </c>
      <c r="Q105" s="16">
        <v>0</v>
      </c>
      <c r="R105" s="24">
        <v>3</v>
      </c>
    </row>
    <row r="106" spans="1:18" ht="16.5" customHeight="1" x14ac:dyDescent="0.2">
      <c r="A106" s="146" t="s">
        <v>104</v>
      </c>
      <c r="B106" s="147" t="s">
        <v>160</v>
      </c>
      <c r="C106" s="41">
        <v>60</v>
      </c>
      <c r="D106" s="16">
        <v>0.48</v>
      </c>
      <c r="E106" s="16">
        <v>0.06</v>
      </c>
      <c r="F106" s="16">
        <v>1.5</v>
      </c>
      <c r="G106" s="16">
        <v>8.4</v>
      </c>
      <c r="H106" s="16">
        <v>84.6</v>
      </c>
      <c r="I106" s="16">
        <v>13.8</v>
      </c>
      <c r="J106" s="16">
        <v>8.4</v>
      </c>
      <c r="K106" s="16">
        <v>25.2</v>
      </c>
      <c r="L106" s="16">
        <v>0.36</v>
      </c>
      <c r="M106" s="16">
        <v>6</v>
      </c>
      <c r="N106" s="16">
        <v>1.7999999999999999E-2</v>
      </c>
      <c r="O106" s="16">
        <v>2.4E-2</v>
      </c>
      <c r="P106" s="18">
        <v>0.12</v>
      </c>
      <c r="Q106" s="16">
        <v>6</v>
      </c>
      <c r="R106" s="24">
        <v>3.18</v>
      </c>
    </row>
    <row r="107" spans="1:18" ht="30" customHeight="1" x14ac:dyDescent="0.2">
      <c r="A107" s="9" t="s">
        <v>11</v>
      </c>
      <c r="B107" s="22" t="s">
        <v>154</v>
      </c>
      <c r="C107" s="23" t="s">
        <v>153</v>
      </c>
      <c r="D107" s="16">
        <v>0.72</v>
      </c>
      <c r="E107" s="16">
        <v>0.72</v>
      </c>
      <c r="F107" s="16">
        <v>17.64</v>
      </c>
      <c r="G107" s="16">
        <v>84.6</v>
      </c>
      <c r="H107" s="16">
        <v>500.4</v>
      </c>
      <c r="I107" s="16">
        <v>28.8</v>
      </c>
      <c r="J107" s="16">
        <v>16.2</v>
      </c>
      <c r="K107" s="16">
        <v>19.8</v>
      </c>
      <c r="L107" s="16">
        <v>3.9600000000000004</v>
      </c>
      <c r="M107" s="16">
        <v>0</v>
      </c>
      <c r="N107" s="16">
        <v>0</v>
      </c>
      <c r="O107" s="16">
        <v>0</v>
      </c>
      <c r="P107" s="18">
        <v>0</v>
      </c>
      <c r="Q107" s="16">
        <v>18</v>
      </c>
      <c r="R107" s="24">
        <v>14.4</v>
      </c>
    </row>
    <row r="108" spans="1:18" ht="16.5" customHeight="1" x14ac:dyDescent="0.2">
      <c r="A108" s="177" t="s">
        <v>12</v>
      </c>
      <c r="B108" s="178"/>
      <c r="C108" s="4">
        <v>860</v>
      </c>
      <c r="D108" s="47">
        <v>28.685500000000001</v>
      </c>
      <c r="E108" s="47">
        <v>28.195999999999998</v>
      </c>
      <c r="F108" s="47">
        <v>137.40600000000001</v>
      </c>
      <c r="G108" s="47">
        <v>905.58799999999997</v>
      </c>
      <c r="H108" s="47">
        <v>1301.0450000000001</v>
      </c>
      <c r="I108" s="47">
        <v>137.38</v>
      </c>
      <c r="J108" s="47">
        <v>102.39</v>
      </c>
      <c r="K108" s="47">
        <v>322.39</v>
      </c>
      <c r="L108" s="47">
        <v>11.020999999999999</v>
      </c>
      <c r="M108" s="47">
        <v>6.0572499999999998</v>
      </c>
      <c r="N108" s="47">
        <v>0.11645000000000001</v>
      </c>
      <c r="O108" s="47">
        <v>0.15664999999999998</v>
      </c>
      <c r="P108" s="47">
        <v>3.3214999999999999</v>
      </c>
      <c r="Q108" s="47">
        <v>31.734500000000001</v>
      </c>
      <c r="R108" s="57">
        <f>SUM(R101:R107)</f>
        <v>104.84</v>
      </c>
    </row>
    <row r="109" spans="1:18" ht="16.5" customHeight="1" x14ac:dyDescent="0.2">
      <c r="A109" s="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8"/>
      <c r="Q109" s="16"/>
      <c r="R109" s="16"/>
    </row>
    <row r="110" spans="1:18" ht="16.5" customHeight="1" x14ac:dyDescent="0.2">
      <c r="A110" s="175" t="s">
        <v>57</v>
      </c>
      <c r="B110" s="176"/>
      <c r="C110" s="4">
        <v>7598</v>
      </c>
      <c r="D110" s="34">
        <v>320.74180000000001</v>
      </c>
      <c r="E110" s="34">
        <v>309.72730000000001</v>
      </c>
      <c r="F110" s="34">
        <v>1305.2440999999999</v>
      </c>
      <c r="G110" s="34">
        <v>9226.4634000000005</v>
      </c>
      <c r="H110" s="34">
        <v>12147.085999999999</v>
      </c>
      <c r="I110" s="34">
        <v>3917.2690000000002</v>
      </c>
      <c r="J110" s="34">
        <v>1403.9019999999998</v>
      </c>
      <c r="K110" s="34">
        <v>5254.7090000000007</v>
      </c>
      <c r="L110" s="34">
        <v>78.732199999999992</v>
      </c>
      <c r="M110" s="34">
        <v>838.64524999999992</v>
      </c>
      <c r="N110" s="34">
        <v>1.4620300000000002</v>
      </c>
      <c r="O110" s="34">
        <v>2.88748</v>
      </c>
      <c r="P110" s="34">
        <v>50.232459999999996</v>
      </c>
      <c r="Q110" s="34">
        <v>517.43669999999997</v>
      </c>
      <c r="R110" s="25">
        <f>R13+R22+R33+R44+R55+R67+R76+R87+R97+R108</f>
        <v>979.59000000000015</v>
      </c>
    </row>
    <row r="111" spans="1:18" ht="16.5" customHeight="1" x14ac:dyDescent="0.2">
      <c r="A111" s="177" t="s">
        <v>58</v>
      </c>
      <c r="B111" s="178"/>
      <c r="C111" s="4">
        <v>759.8</v>
      </c>
      <c r="D111" s="34">
        <v>32.074179999999998</v>
      </c>
      <c r="E111" s="34">
        <v>30.972730000000002</v>
      </c>
      <c r="F111" s="34">
        <v>130.52440999999999</v>
      </c>
      <c r="G111" s="34">
        <v>922.64634000000001</v>
      </c>
      <c r="H111" s="34">
        <v>1214.7085999999999</v>
      </c>
      <c r="I111" s="34">
        <v>391.7269</v>
      </c>
      <c r="J111" s="34">
        <v>140.39019999999999</v>
      </c>
      <c r="K111" s="34">
        <v>525.47090000000003</v>
      </c>
      <c r="L111" s="34">
        <v>7.873219999999999</v>
      </c>
      <c r="M111" s="34">
        <v>83.864524999999986</v>
      </c>
      <c r="N111" s="47">
        <v>0.14620300000000003</v>
      </c>
      <c r="O111" s="47">
        <v>0.288748</v>
      </c>
      <c r="P111" s="34">
        <v>5.0232459999999994</v>
      </c>
      <c r="Q111" s="34">
        <v>51.743669999999995</v>
      </c>
      <c r="R111" s="158">
        <f>R110/10</f>
        <v>97.959000000000017</v>
      </c>
    </row>
    <row r="112" spans="1:18" x14ac:dyDescent="0.2">
      <c r="R112" s="44" t="s">
        <v>62</v>
      </c>
    </row>
    <row r="113" spans="1:19" x14ac:dyDescent="0.2">
      <c r="A113" s="69" t="s">
        <v>102</v>
      </c>
      <c r="B113" s="44" t="s">
        <v>146</v>
      </c>
      <c r="C113" s="45"/>
      <c r="S113" s="46"/>
    </row>
  </sheetData>
  <mergeCells count="25">
    <mergeCell ref="A44:B44"/>
    <mergeCell ref="F2:F3"/>
    <mergeCell ref="A13:B13"/>
    <mergeCell ref="C1:C3"/>
    <mergeCell ref="A33:B33"/>
    <mergeCell ref="B1:B3"/>
    <mergeCell ref="D1:F1"/>
    <mergeCell ref="E2:E3"/>
    <mergeCell ref="A22:B22"/>
    <mergeCell ref="A67:B67"/>
    <mergeCell ref="A57:R57"/>
    <mergeCell ref="M1:Q2"/>
    <mergeCell ref="D2:D3"/>
    <mergeCell ref="H1:L2"/>
    <mergeCell ref="A1:A3"/>
    <mergeCell ref="A4:R4"/>
    <mergeCell ref="R1:R3"/>
    <mergeCell ref="G1:G3"/>
    <mergeCell ref="A55:B55"/>
    <mergeCell ref="A111:B111"/>
    <mergeCell ref="A110:B110"/>
    <mergeCell ref="A97:B97"/>
    <mergeCell ref="A87:B87"/>
    <mergeCell ref="A76:B76"/>
    <mergeCell ref="A108:B108"/>
  </mergeCells>
  <pageMargins left="0.59055118110236227" right="0.19685039370078741" top="0.39370078740157483" bottom="0.39370078740157483" header="0.31496062992125984" footer="0.31496062992125984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завтраки(с ценами)</vt:lpstr>
      <vt:lpstr>завтраки(ДЛЯ САЙТА)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Елена Сергеева</cp:lastModifiedBy>
  <cp:lastPrinted>2024-07-22T07:38:47Z</cp:lastPrinted>
  <dcterms:created xsi:type="dcterms:W3CDTF">2008-03-12T13:26:08Z</dcterms:created>
  <dcterms:modified xsi:type="dcterms:W3CDTF">2024-08-21T09:15:33Z</dcterms:modified>
</cp:coreProperties>
</file>